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evriesennell.sharepoint.com/sites/Management-VNA/Gedeelde documenten/Website/"/>
    </mc:Choice>
  </mc:AlternateContent>
  <xr:revisionPtr revIDLastSave="378" documentId="11_BE9D5D64B0A4AFBE14413AD8CD70DB7E08789847" xr6:coauthVersionLast="47" xr6:coauthVersionMax="47" xr10:uidLastSave="{1562D65F-4D41-43BF-A7E8-EFA2BAC572A7}"/>
  <bookViews>
    <workbookView xWindow="-120" yWindow="-120" windowWidth="29040" windowHeight="15720" xr2:uid="{00000000-000D-0000-FFFF-FFFF00000000}"/>
  </bookViews>
  <sheets>
    <sheet name="Jaar 2025" sheetId="11" r:id="rId1"/>
    <sheet name="Heffingskortingen 2025" sheetId="12" state="hidden" r:id="rId2"/>
    <sheet name="Jaar 2024" sheetId="10" r:id="rId3"/>
    <sheet name="Heffingskortingen 2024"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1" l="1"/>
  <c r="L61" i="11"/>
  <c r="L45" i="11"/>
  <c r="E45" i="11"/>
  <c r="D37" i="12"/>
  <c r="E26" i="10"/>
  <c r="E36" i="12"/>
  <c r="E35" i="12"/>
  <c r="E34" i="12"/>
  <c r="E33" i="12"/>
  <c r="D36" i="12"/>
  <c r="D35" i="12"/>
  <c r="D34" i="12"/>
  <c r="D33" i="12"/>
  <c r="D13" i="12"/>
  <c r="L26" i="11"/>
  <c r="J34" i="11" s="1"/>
  <c r="L34" i="11" s="1"/>
  <c r="L33" i="11"/>
  <c r="L32" i="11"/>
  <c r="E14" i="11"/>
  <c r="E16" i="11" s="1"/>
  <c r="L52" i="11"/>
  <c r="L51" i="11"/>
  <c r="L54" i="11" s="1"/>
  <c r="L56" i="11" s="1"/>
  <c r="L58" i="11" s="1"/>
  <c r="I45" i="11"/>
  <c r="L25" i="11"/>
  <c r="L24" i="11"/>
  <c r="L21" i="11"/>
  <c r="E20" i="11"/>
  <c r="L20" i="11" s="1"/>
  <c r="E15" i="11"/>
  <c r="L37" i="10"/>
  <c r="D36" i="9"/>
  <c r="E36" i="9" s="1"/>
  <c r="D37" i="9"/>
  <c r="E35" i="9"/>
  <c r="D35" i="9"/>
  <c r="E34" i="9"/>
  <c r="D34" i="9"/>
  <c r="E33" i="9"/>
  <c r="D33" i="9"/>
  <c r="I44" i="10"/>
  <c r="L44" i="10"/>
  <c r="E16" i="10"/>
  <c r="E14" i="10"/>
  <c r="L51" i="10"/>
  <c r="L50" i="10"/>
  <c r="L53" i="10" s="1"/>
  <c r="L25" i="10"/>
  <c r="L24" i="10"/>
  <c r="L21" i="10"/>
  <c r="E20" i="10"/>
  <c r="L20" i="10" s="1"/>
  <c r="L26" i="10" s="1"/>
  <c r="D15" i="9" s="1"/>
  <c r="E15" i="10"/>
  <c r="L31" i="11" l="1"/>
  <c r="D39" i="12"/>
  <c r="E17" i="11"/>
  <c r="E13" i="12"/>
  <c r="D14" i="12"/>
  <c r="E14" i="12" s="1"/>
  <c r="D15" i="12"/>
  <c r="E39" i="12"/>
  <c r="L38" i="11" s="1"/>
  <c r="D13" i="9"/>
  <c r="D14" i="9" s="1"/>
  <c r="E14" i="9" s="1"/>
  <c r="E13" i="9"/>
  <c r="L31" i="10"/>
  <c r="D39" i="9"/>
  <c r="E39" i="9"/>
  <c r="L32" i="10"/>
  <c r="J33" i="10"/>
  <c r="L33" i="10" s="1"/>
  <c r="E17" i="10"/>
  <c r="L55" i="10"/>
  <c r="L57" i="10" s="1"/>
  <c r="L60" i="10" s="1"/>
  <c r="B45" i="11" l="1"/>
  <c r="E26" i="11"/>
  <c r="D23" i="12"/>
  <c r="E23" i="12" s="1"/>
  <c r="E4" i="12"/>
  <c r="D22" i="12"/>
  <c r="E22" i="12" s="1"/>
  <c r="D26" i="12"/>
  <c r="D25" i="12"/>
  <c r="E25" i="12" s="1"/>
  <c r="D24" i="12"/>
  <c r="E24" i="12" s="1"/>
  <c r="L35" i="11"/>
  <c r="E17" i="12"/>
  <c r="L37" i="11" s="1"/>
  <c r="E17" i="9"/>
  <c r="L36" i="10" s="1"/>
  <c r="L34" i="10"/>
  <c r="D23" i="9"/>
  <c r="E23" i="9" s="1"/>
  <c r="D22" i="9"/>
  <c r="B44" i="10"/>
  <c r="E44" i="10" s="1"/>
  <c r="D24" i="9"/>
  <c r="E24" i="9" s="1"/>
  <c r="D26" i="9"/>
  <c r="D25" i="9"/>
  <c r="E25" i="9" s="1"/>
  <c r="E28" i="12" l="1"/>
  <c r="E38" i="11" s="1"/>
  <c r="E33" i="11"/>
  <c r="D4" i="12"/>
  <c r="C34" i="11"/>
  <c r="E34" i="11" s="1"/>
  <c r="E31" i="11"/>
  <c r="E32" i="11"/>
  <c r="D28" i="12"/>
  <c r="D6" i="12"/>
  <c r="L41" i="11"/>
  <c r="D5" i="12"/>
  <c r="E5" i="12" s="1"/>
  <c r="E8" i="12" s="1"/>
  <c r="E37" i="11" s="1"/>
  <c r="L40" i="10"/>
  <c r="L65" i="10" s="1"/>
  <c r="D6" i="9"/>
  <c r="E4" i="9"/>
  <c r="E31" i="10"/>
  <c r="D4" i="9"/>
  <c r="D5" i="9" s="1"/>
  <c r="E5" i="9" s="1"/>
  <c r="E22" i="9"/>
  <c r="E28" i="9" s="1"/>
  <c r="E37" i="10" s="1"/>
  <c r="D28" i="9"/>
  <c r="E32" i="10"/>
  <c r="C33" i="10"/>
  <c r="E33" i="10" s="1"/>
  <c r="E35" i="11" l="1"/>
  <c r="E41" i="11" s="1"/>
  <c r="E66" i="11" s="1"/>
  <c r="E8" i="9"/>
  <c r="E36" i="10" s="1"/>
  <c r="E34" i="10"/>
  <c r="E40" i="10" l="1"/>
  <c r="E6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Harco Sok - (Vries en Nell)</author>
  </authors>
  <commentList>
    <comment ref="D15" authorId="0" shapeId="0" xr:uid="{9584CF44-B40F-4F68-B54B-63732B97724B}">
      <text>
        <r>
          <rPr>
            <sz val="10"/>
            <color indexed="81"/>
            <rFont val="Arial"/>
            <family val="2"/>
          </rPr>
          <t>U was in 1 of meer van de 5 voorafgaande kalenderjaren geen ondernemer.
U paste in die periode niet meer dan 2 keer zelfstandigenaftrek toe.</t>
        </r>
      </text>
    </comment>
    <comment ref="E21" authorId="0" shapeId="0" xr:uid="{3CC32629-410D-47E3-9EAE-B9C41BBD3B2E}">
      <text>
        <r>
          <rPr>
            <sz val="9"/>
            <color indexed="81"/>
            <rFont val="Tahoma"/>
            <family val="2"/>
          </rPr>
          <t>negatief invullen</t>
        </r>
      </text>
    </comment>
    <comment ref="E24" authorId="0" shapeId="0" xr:uid="{F069C884-76AC-4D5C-A4FA-866DBCCCD5C6}">
      <text>
        <r>
          <rPr>
            <sz val="9"/>
            <color indexed="81"/>
            <rFont val="Tahoma"/>
            <family val="2"/>
          </rPr>
          <t>negatief invullen</t>
        </r>
      </text>
    </comment>
    <comment ref="E25" authorId="0" shapeId="0" xr:uid="{4CEA9F57-3918-4A1E-8397-0C349965ACA1}">
      <text>
        <r>
          <rPr>
            <sz val="9"/>
            <color indexed="81"/>
            <rFont val="Tahoma"/>
            <family val="2"/>
          </rPr>
          <t>negatief invullen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Harco Sok - (Vries en Nell)</author>
  </authors>
  <commentList>
    <comment ref="D15" authorId="0" shapeId="0" xr:uid="{ED755625-D3DF-4A7B-859A-F707E46F7005}">
      <text>
        <r>
          <rPr>
            <sz val="10"/>
            <color indexed="81"/>
            <rFont val="Arial"/>
            <family val="2"/>
          </rPr>
          <t>U was in 1 of meer van de 5 voorafgaande kalenderjaren geen ondernemer.
U paste in die periode niet meer dan 2 keer zelfstandigenaftrek toe.</t>
        </r>
      </text>
    </comment>
    <comment ref="E21" authorId="0" shapeId="0" xr:uid="{8816EF1A-4A48-477D-AC3A-6F08A1EE76F7}">
      <text>
        <r>
          <rPr>
            <sz val="9"/>
            <color indexed="81"/>
            <rFont val="Tahoma"/>
            <family val="2"/>
          </rPr>
          <t>negatief invullen</t>
        </r>
      </text>
    </comment>
    <comment ref="E24" authorId="0" shapeId="0" xr:uid="{F8115106-C23B-4B34-9B86-1D7F37BD725E}">
      <text>
        <r>
          <rPr>
            <sz val="9"/>
            <color indexed="81"/>
            <rFont val="Tahoma"/>
            <family val="2"/>
          </rPr>
          <t>negatief invullen</t>
        </r>
      </text>
    </comment>
    <comment ref="E25" authorId="0" shapeId="0" xr:uid="{41D0E59B-8C31-474F-BA87-09F0AAEDEBCA}">
      <text>
        <r>
          <rPr>
            <sz val="9"/>
            <color indexed="81"/>
            <rFont val="Tahoma"/>
            <family val="2"/>
          </rPr>
          <t>negatief invullen</t>
        </r>
      </text>
    </comment>
  </commentList>
</comments>
</file>

<file path=xl/sharedStrings.xml><?xml version="1.0" encoding="utf-8"?>
<sst xmlns="http://schemas.openxmlformats.org/spreadsheetml/2006/main" count="250" uniqueCount="100">
  <si>
    <t>Winst uit onderneming</t>
  </si>
  <si>
    <t>Zelfstandigenaftrek</t>
  </si>
  <si>
    <t>Eigen woning</t>
  </si>
  <si>
    <t>Hypotheekrente</t>
  </si>
  <si>
    <t>Premies voor inkomensvoorz.</t>
  </si>
  <si>
    <t>Belastbaar inkomen Box I</t>
  </si>
  <si>
    <t>Inkomstenbelasting/premie volksverzekeringen</t>
  </si>
  <si>
    <t>IB/Pvv</t>
  </si>
  <si>
    <t>Verschuldigde IB/Pvv</t>
  </si>
  <si>
    <t>Winst en verlies rekening</t>
  </si>
  <si>
    <t xml:space="preserve"> </t>
  </si>
  <si>
    <t>Resultaat voor aftrek salaris</t>
  </si>
  <si>
    <t>AOV-verzekering</t>
  </si>
  <si>
    <t>Arbeidskorting (3)</t>
  </si>
  <si>
    <t>Een BV en daar op de loonlijst</t>
  </si>
  <si>
    <t>Algemene heffingskorting (2)</t>
  </si>
  <si>
    <t>Inkomsten uit arbeid</t>
  </si>
  <si>
    <t>Salaris DGA</t>
  </si>
  <si>
    <t>ROW</t>
  </si>
  <si>
    <t>Resultaat i.v.m. ter beschkkking stellen aan de BV</t>
  </si>
  <si>
    <t>VENNOOTSCHAPSBELASTING</t>
  </si>
  <si>
    <t>Waardestijging aandelen</t>
  </si>
  <si>
    <t>Contante waarde vrijval oudedagsreserve (5)</t>
  </si>
  <si>
    <t>(8) Overwogen moet worden of de gang naar een man/vrouw firma meer voor de hand ligt als tussenstation naar een BV</t>
  </si>
  <si>
    <t>Totale heffing</t>
  </si>
  <si>
    <t>Hypotheekrente (9)</t>
  </si>
  <si>
    <t>Belastbaar resultaat (10)</t>
  </si>
  <si>
    <t>(10) De administratieve lasten van een BV zijn hoger cq het opzetten er van kost geld. Neem dat mee in de afweging</t>
  </si>
  <si>
    <t>(11) Met meewerkaftrek en meewerkbeloning niets gedaan omdat het effect beperkt is.</t>
  </si>
  <si>
    <t>(13) Denk aan de regels voor het gebruikelijk loon.</t>
  </si>
  <si>
    <t>minimumbedrag is nihil.</t>
  </si>
  <si>
    <t>(12) Besef dat een BV-structuur ook bij de klant moet passen. Wees reeel over het aansprakelijkheidsrisico. Dat wordt nogal eens overschat.</t>
  </si>
  <si>
    <t>min</t>
  </si>
  <si>
    <t>max</t>
  </si>
  <si>
    <t>geen korting</t>
  </si>
  <si>
    <t>Algemene heffingskorting eenmanszaak</t>
  </si>
  <si>
    <t>Algemene heffingskorting BV</t>
  </si>
  <si>
    <t>Arbeidskorting eenmanszaak</t>
  </si>
  <si>
    <t>inkomen</t>
  </si>
  <si>
    <t>korting</t>
  </si>
  <si>
    <t>Arbeidskorting BV</t>
  </si>
  <si>
    <t>Pensioen</t>
  </si>
  <si>
    <t>Startersaftrek</t>
  </si>
  <si>
    <t>Ja</t>
  </si>
  <si>
    <t>Nee</t>
  </si>
  <si>
    <t>Pensioenpremie</t>
  </si>
  <si>
    <t>Winst</t>
  </si>
  <si>
    <t>ja</t>
  </si>
  <si>
    <t>vul WOZ in:</t>
  </si>
  <si>
    <t>Zorgverzekeringswet/ZVW</t>
  </si>
  <si>
    <t>Belastbare winst uit onderneming</t>
  </si>
  <si>
    <t>Arbeidskorting over belastbare winst uit onderneming (3)</t>
  </si>
  <si>
    <t xml:space="preserve">(geen rekening gehouden met inkomensafhankelijke </t>
  </si>
  <si>
    <t>combinatiekorting en/of ouderenkorting)</t>
  </si>
  <si>
    <t>Box 2 claim dividend (7)</t>
  </si>
  <si>
    <t>(6) NVT</t>
  </si>
  <si>
    <t>2de schijf 49,50%</t>
  </si>
  <si>
    <t>(1) NVT</t>
  </si>
  <si>
    <t>(5) NVT</t>
  </si>
  <si>
    <t>Eenmanszaak (8)</t>
  </si>
  <si>
    <t>negatief invullen -&gt;</t>
  </si>
  <si>
    <t>DISCLAIMER EN GEBRUIK
Dit bestand is met veel zorg opgesteld, maar kan fouten bevatten en voor uw situatie niet geschikt zijn. Daarom is het gebruik hiervan ter indicatie en zal Administratiekantoor De Vries &amp; Nell Amersfoort geen aansprakelijkheid accepteren. 
Gehele of gedeeltelijke overname, plaatsing op andere sites, verveelvoudiging op welke andere wijze dan ook en/of commercieel gebruik van deze informatie is niet toegestaan, tenzij hiervoor uitdrukkelijk schriftelijke toestemming is verleend door Administratiekantoor De Vries &amp; Nell Amersfoort.
Het gebruik van onderstaande administratiebestanden is alleen toegestaan voor klanten van Administratiekantoor De Vries &amp; Nell Amersfoort na ondertekening van de offerte.</t>
  </si>
  <si>
    <t>Rode cellen zelf invullen/aanpassen</t>
  </si>
  <si>
    <t>(9) NVT</t>
  </si>
  <si>
    <t>Eigenwoningforfait (gemiddeld 0,35%)</t>
  </si>
  <si>
    <r>
      <t xml:space="preserve">Loon als dga (13) </t>
    </r>
    <r>
      <rPr>
        <sz val="8"/>
        <rFont val="Arial"/>
        <family val="2"/>
      </rPr>
      <t>-&gt; vergelijkbaar met in loondienst</t>
    </r>
  </si>
  <si>
    <t>afbouw 6,095%</t>
  </si>
  <si>
    <t>afbouw 6,51%</t>
  </si>
  <si>
    <t>Verschuldigde VPB 19% (4)</t>
  </si>
  <si>
    <t>(4) Boven de € 200.000 is 25,8% verschuldigd</t>
  </si>
  <si>
    <t>13,31% MKB-winstvrijstelling</t>
  </si>
  <si>
    <t>1ste schijf 36,97%</t>
  </si>
  <si>
    <t>Correctie aftrekbeperking tot max 36,97%</t>
  </si>
  <si>
    <t>max. € 71.628</t>
  </si>
  <si>
    <t>Hoeveel belasting eenmanszaak of BV jaar 2024</t>
  </si>
  <si>
    <t>vast bedrag € 3.362</t>
  </si>
  <si>
    <t>8,452%</t>
  </si>
  <si>
    <t>31,433%</t>
  </si>
  <si>
    <t>2,471%</t>
  </si>
  <si>
    <t>(2) Algemene heffingskorting is inkomensafhankelijk. Vanaf een inkomen van € 24.813 wordt deze lager naarmate het inkomen in box 1 stijgt.</t>
  </si>
  <si>
    <t>Vanaf dit bedrag wordt deze heffingskorting afgebouwd met 6,630%.</t>
  </si>
  <si>
    <t>(3) De arbeidskorting is inkomensafhankelijk. De afbouw start vanaf € 39.958. Dus 6,51% van dat meerdere gaat af van € 5.158 en het</t>
  </si>
  <si>
    <t>(7) De jaarlijkse winst in de BV zal ooit uitgekeerd gaan worden waardoor er een aanmerkelijk belang heffing plaats vindt in box 2 van 24,5% tot € 67.000,- (bij partner tot € 134.000,-) daarboven 33%</t>
  </si>
  <si>
    <t>Let op: tot € 67.000,- is de dividendbelasting 24,5% (bij partner tot € 134.000,-)</t>
  </si>
  <si>
    <t>Hoeveel belasting eenmanszaak of BV jaar 2025</t>
  </si>
  <si>
    <t>12,7% MKB-winstvrijstelling</t>
  </si>
  <si>
    <t>1ste schijf 35,82%</t>
  </si>
  <si>
    <t>2de schijf 37,48%</t>
  </si>
  <si>
    <t>3de schijf 49,50%</t>
  </si>
  <si>
    <t>Correctie aftrekbeperking tot max 37,48%</t>
  </si>
  <si>
    <t>vast bedrag € 3.068</t>
  </si>
  <si>
    <t>afbouw 6,337%</t>
  </si>
  <si>
    <t>8,053%</t>
  </si>
  <si>
    <t>30,030%</t>
  </si>
  <si>
    <t>2,258%</t>
  </si>
  <si>
    <t>(2) Algemene heffingskorting is inkomensafhankelijk. Vanaf een inkomen van € 28.407 wordt deze lager naarmate het inkomen in box 1 stijgt.</t>
  </si>
  <si>
    <t>Vanaf dit bedrag wordt deze heffingskorting afgebouwd met 6,337%.</t>
  </si>
  <si>
    <t>(3) De arbeidskorting is inkomensafhankelijk. De afbouw start vanaf € 43.071. Dus 6,51% van dat meerdere gaat af van € 5.599 en het</t>
  </si>
  <si>
    <t>max. € 75.860</t>
  </si>
  <si>
    <t>(7) De jaarlijkse winst in de BV zal ooit uitgekeerd gaan worden waardoor er een aanmerkelijk belang heffing plaats vindt in box 2 van 24,5% tot € 67.000,- (bij partner tot € 134.000,-) daarboven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</si>
</sst>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u/>
      <sz val="10"/>
      <name val="Arial"/>
      <family val="2"/>
    </font>
    <font>
      <sz val="10"/>
      <name val="Arial"/>
      <family val="2"/>
    </font>
    <font>
      <sz val="10"/>
      <color rgb="FFFF0000"/>
      <name val="Arial"/>
      <family val="2"/>
    </font>
    <font>
      <sz val="10"/>
      <color theme="1"/>
      <name val="Arial"/>
      <family val="2"/>
    </font>
    <font>
      <sz val="10"/>
      <color indexed="81"/>
      <name val="Arial"/>
      <family val="2"/>
    </font>
    <font>
      <sz val="8"/>
      <name val="Arial"/>
      <family val="2"/>
    </font>
    <font>
      <sz val="9"/>
      <color indexed="81"/>
      <name val="Tahoma"/>
      <family val="2"/>
    </font>
    <font>
      <i/>
      <sz val="10"/>
      <name val="Arial"/>
      <family val="2"/>
    </font>
    <font>
      <b/>
      <sz val="9"/>
      <name val="Arial"/>
      <family val="2"/>
    </font>
    <font>
      <b/>
      <sz val="10"/>
      <color rgb="FFFF0000"/>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F0000"/>
        <bgColor indexed="64"/>
      </patternFill>
    </fill>
    <fill>
      <patternFill patternType="solid">
        <fgColor rgb="FFFF0000"/>
        <bgColor rgb="FFD23D42"/>
      </patternFill>
    </fill>
  </fills>
  <borders count="14">
    <border>
      <left/>
      <right/>
      <top/>
      <bottom/>
      <diagonal/>
    </border>
    <border>
      <left/>
      <right/>
      <top/>
      <bottom style="thin">
        <color indexed="64"/>
      </bottom>
      <diagonal/>
    </border>
    <border>
      <left/>
      <right/>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xf numFmtId="3" fontId="0" fillId="0" borderId="0" xfId="0" applyNumberFormat="1"/>
    <xf numFmtId="0" fontId="3" fillId="0" borderId="0" xfId="0" applyFont="1"/>
    <xf numFmtId="3" fontId="1" fillId="0" borderId="0" xfId="0" applyNumberFormat="1" applyFont="1" applyAlignment="1">
      <alignment horizontal="right"/>
    </xf>
    <xf numFmtId="3" fontId="0" fillId="0" borderId="10" xfId="0" applyNumberFormat="1" applyBorder="1"/>
    <xf numFmtId="10" fontId="3" fillId="0" borderId="0" xfId="0" quotePrefix="1" applyNumberFormat="1" applyFont="1"/>
    <xf numFmtId="0" fontId="3" fillId="0" borderId="0" xfId="0" quotePrefix="1" applyFont="1"/>
    <xf numFmtId="3" fontId="3" fillId="0" borderId="0" xfId="0" quotePrefix="1" applyNumberFormat="1" applyFont="1"/>
    <xf numFmtId="9" fontId="3" fillId="0" borderId="0" xfId="0" quotePrefix="1" applyNumberFormat="1" applyFont="1"/>
    <xf numFmtId="0" fontId="0" fillId="2" borderId="3" xfId="0" applyFill="1" applyBorder="1"/>
    <xf numFmtId="0" fontId="0" fillId="2" borderId="4" xfId="0" applyFill="1" applyBorder="1"/>
    <xf numFmtId="3" fontId="0" fillId="2" borderId="4" xfId="0" applyNumberFormat="1" applyFill="1" applyBorder="1"/>
    <xf numFmtId="3" fontId="0" fillId="2" borderId="5" xfId="0" applyNumberFormat="1" applyFill="1" applyBorder="1"/>
    <xf numFmtId="3" fontId="0" fillId="2" borderId="3" xfId="0" applyNumberFormat="1" applyFill="1" applyBorder="1"/>
    <xf numFmtId="0" fontId="0" fillId="0" borderId="6" xfId="0" applyBorder="1"/>
    <xf numFmtId="3" fontId="0" fillId="2" borderId="6" xfId="0" applyNumberFormat="1" applyFill="1" applyBorder="1"/>
    <xf numFmtId="0" fontId="0" fillId="2" borderId="8" xfId="0" applyFill="1" applyBorder="1"/>
    <xf numFmtId="0" fontId="0" fillId="2" borderId="1" xfId="0" applyFill="1" applyBorder="1"/>
    <xf numFmtId="3" fontId="0" fillId="2" borderId="1" xfId="0" applyNumberFormat="1" applyFill="1" applyBorder="1"/>
    <xf numFmtId="3" fontId="0" fillId="2" borderId="9" xfId="0" applyNumberFormat="1" applyFill="1" applyBorder="1"/>
    <xf numFmtId="3" fontId="0" fillId="2" borderId="8" xfId="0" applyNumberFormat="1" applyFill="1" applyBorder="1"/>
    <xf numFmtId="0" fontId="0" fillId="3" borderId="6" xfId="0" applyFill="1" applyBorder="1"/>
    <xf numFmtId="0" fontId="0" fillId="3" borderId="0" xfId="0" applyFill="1"/>
    <xf numFmtId="3" fontId="0" fillId="3" borderId="0" xfId="0" applyNumberFormat="1" applyFill="1"/>
    <xf numFmtId="3" fontId="0" fillId="3" borderId="7" xfId="0" applyNumberFormat="1" applyFill="1" applyBorder="1"/>
    <xf numFmtId="3" fontId="0" fillId="3" borderId="6" xfId="0" applyNumberFormat="1" applyFill="1" applyBorder="1"/>
    <xf numFmtId="0" fontId="1" fillId="3" borderId="6" xfId="0" applyFont="1" applyFill="1" applyBorder="1"/>
    <xf numFmtId="0" fontId="1" fillId="3" borderId="0" xfId="0" applyFont="1" applyFill="1"/>
    <xf numFmtId="3" fontId="1" fillId="3" borderId="0" xfId="0" applyNumberFormat="1" applyFont="1" applyFill="1"/>
    <xf numFmtId="3" fontId="1" fillId="3" borderId="7" xfId="0" applyNumberFormat="1" applyFont="1" applyFill="1" applyBorder="1"/>
    <xf numFmtId="3" fontId="1" fillId="3" borderId="6" xfId="0" applyNumberFormat="1" applyFont="1" applyFill="1" applyBorder="1"/>
    <xf numFmtId="0" fontId="1" fillId="0" borderId="6" xfId="0" applyFont="1" applyBorder="1"/>
    <xf numFmtId="0" fontId="3" fillId="3" borderId="6" xfId="0" applyFont="1" applyFill="1" applyBorder="1"/>
    <xf numFmtId="0" fontId="3" fillId="3" borderId="0" xfId="0" applyFont="1" applyFill="1"/>
    <xf numFmtId="3" fontId="3" fillId="3" borderId="0" xfId="0" applyNumberFormat="1" applyFont="1" applyFill="1"/>
    <xf numFmtId="9" fontId="0" fillId="3" borderId="0" xfId="0" applyNumberFormat="1" applyFill="1"/>
    <xf numFmtId="3" fontId="0" fillId="3" borderId="1" xfId="0" applyNumberFormat="1" applyFill="1" applyBorder="1"/>
    <xf numFmtId="0" fontId="7" fillId="3" borderId="0" xfId="0" applyFont="1" applyFill="1"/>
    <xf numFmtId="3" fontId="1" fillId="3" borderId="2" xfId="0" applyNumberFormat="1" applyFont="1" applyFill="1" applyBorder="1"/>
    <xf numFmtId="3" fontId="1" fillId="3" borderId="0" xfId="0" applyNumberFormat="1" applyFont="1" applyFill="1" applyAlignment="1">
      <alignment horizontal="right"/>
    </xf>
    <xf numFmtId="0" fontId="2" fillId="3" borderId="6" xfId="0" applyFont="1" applyFill="1" applyBorder="1"/>
    <xf numFmtId="0" fontId="2" fillId="3" borderId="0" xfId="0" applyFont="1" applyFill="1"/>
    <xf numFmtId="0" fontId="9" fillId="3" borderId="6" xfId="0" applyFont="1" applyFill="1" applyBorder="1" applyAlignment="1">
      <alignment horizontal="left"/>
    </xf>
    <xf numFmtId="0" fontId="9" fillId="3" borderId="6" xfId="0" applyFont="1" applyFill="1" applyBorder="1"/>
    <xf numFmtId="3" fontId="0" fillId="3" borderId="2" xfId="0" applyNumberFormat="1" applyFill="1" applyBorder="1"/>
    <xf numFmtId="10" fontId="0" fillId="3" borderId="6" xfId="0" applyNumberFormat="1" applyFill="1" applyBorder="1" applyAlignment="1">
      <alignment horizontal="left"/>
    </xf>
    <xf numFmtId="0" fontId="9" fillId="3" borderId="0" xfId="0" applyFont="1" applyFill="1"/>
    <xf numFmtId="10" fontId="0" fillId="3" borderId="0" xfId="0" applyNumberFormat="1" applyFill="1" applyAlignment="1">
      <alignment horizontal="left"/>
    </xf>
    <xf numFmtId="0" fontId="1" fillId="4" borderId="3" xfId="0" applyFont="1" applyFill="1" applyBorder="1"/>
    <xf numFmtId="0" fontId="1" fillId="4" borderId="4" xfId="0" applyFont="1" applyFill="1" applyBorder="1"/>
    <xf numFmtId="3" fontId="1" fillId="4" borderId="4" xfId="0" applyNumberFormat="1" applyFont="1" applyFill="1" applyBorder="1" applyAlignment="1">
      <alignment horizontal="right"/>
    </xf>
    <xf numFmtId="3" fontId="1" fillId="4" borderId="5" xfId="0" applyNumberFormat="1" applyFont="1" applyFill="1" applyBorder="1"/>
    <xf numFmtId="3" fontId="1" fillId="4" borderId="3" xfId="0" applyNumberFormat="1" applyFont="1" applyFill="1" applyBorder="1"/>
    <xf numFmtId="0" fontId="0" fillId="4" borderId="4" xfId="0" applyFill="1" applyBorder="1"/>
    <xf numFmtId="0" fontId="1" fillId="4" borderId="6" xfId="0" applyFont="1" applyFill="1" applyBorder="1"/>
    <xf numFmtId="0" fontId="1" fillId="4" borderId="0" xfId="0" applyFont="1" applyFill="1"/>
    <xf numFmtId="3" fontId="1" fillId="4" borderId="0" xfId="0" applyNumberFormat="1" applyFont="1" applyFill="1" applyAlignment="1">
      <alignment horizontal="right"/>
    </xf>
    <xf numFmtId="3" fontId="1" fillId="4" borderId="7" xfId="0" applyNumberFormat="1" applyFont="1" applyFill="1" applyBorder="1"/>
    <xf numFmtId="3" fontId="1" fillId="4" borderId="6" xfId="0" applyNumberFormat="1" applyFont="1" applyFill="1" applyBorder="1"/>
    <xf numFmtId="0" fontId="0" fillId="4" borderId="0" xfId="0" applyFill="1"/>
    <xf numFmtId="3" fontId="1" fillId="4" borderId="0" xfId="0" applyNumberFormat="1" applyFont="1" applyFill="1"/>
    <xf numFmtId="3" fontId="0" fillId="4" borderId="0" xfId="0" applyNumberFormat="1" applyFill="1"/>
    <xf numFmtId="0" fontId="3" fillId="4" borderId="0" xfId="0" applyFont="1" applyFill="1"/>
    <xf numFmtId="3" fontId="0" fillId="4" borderId="1" xfId="0" applyNumberFormat="1" applyFill="1" applyBorder="1"/>
    <xf numFmtId="0" fontId="4" fillId="0" borderId="6" xfId="0" applyFont="1" applyBorder="1"/>
    <xf numFmtId="3" fontId="0" fillId="4" borderId="2" xfId="0" applyNumberFormat="1" applyFill="1" applyBorder="1"/>
    <xf numFmtId="0" fontId="0" fillId="4" borderId="6" xfId="0" applyFill="1" applyBorder="1"/>
    <xf numFmtId="0" fontId="1" fillId="4" borderId="8" xfId="0" applyFont="1" applyFill="1" applyBorder="1"/>
    <xf numFmtId="0" fontId="1" fillId="4" borderId="1" xfId="0" applyFont="1" applyFill="1" applyBorder="1"/>
    <xf numFmtId="3" fontId="1" fillId="4" borderId="1" xfId="0" applyNumberFormat="1" applyFont="1" applyFill="1" applyBorder="1" applyAlignment="1">
      <alignment horizontal="right"/>
    </xf>
    <xf numFmtId="3" fontId="1" fillId="4" borderId="1" xfId="0" applyNumberFormat="1" applyFont="1" applyFill="1" applyBorder="1"/>
    <xf numFmtId="0" fontId="0" fillId="4" borderId="8" xfId="0" applyFill="1" applyBorder="1"/>
    <xf numFmtId="0" fontId="0" fillId="4" borderId="1" xfId="0" applyFill="1" applyBorder="1"/>
    <xf numFmtId="3" fontId="1" fillId="4" borderId="9" xfId="0" applyNumberFormat="1" applyFont="1" applyFill="1" applyBorder="1"/>
    <xf numFmtId="0" fontId="1" fillId="6" borderId="6" xfId="0" applyFont="1" applyFill="1" applyBorder="1"/>
    <xf numFmtId="0" fontId="1" fillId="6" borderId="0" xfId="0" applyFont="1" applyFill="1"/>
    <xf numFmtId="3" fontId="1" fillId="6" borderId="0" xfId="0" applyNumberFormat="1" applyFont="1" applyFill="1" applyAlignment="1">
      <alignment horizontal="right"/>
    </xf>
    <xf numFmtId="3" fontId="1" fillId="6" borderId="0" xfId="0" applyNumberFormat="1" applyFont="1" applyFill="1"/>
    <xf numFmtId="0" fontId="0" fillId="6" borderId="6" xfId="0" applyFill="1" applyBorder="1"/>
    <xf numFmtId="0" fontId="0" fillId="6" borderId="0" xfId="0" applyFill="1"/>
    <xf numFmtId="3" fontId="0" fillId="6" borderId="0" xfId="0" applyNumberFormat="1" applyFill="1"/>
    <xf numFmtId="0" fontId="1" fillId="6" borderId="8" xfId="0" applyFont="1" applyFill="1" applyBorder="1"/>
    <xf numFmtId="0" fontId="1" fillId="6" borderId="1" xfId="0" applyFont="1" applyFill="1" applyBorder="1"/>
    <xf numFmtId="3" fontId="1" fillId="6" borderId="1" xfId="0" applyNumberFormat="1" applyFont="1" applyFill="1" applyBorder="1" applyAlignment="1">
      <alignment horizontal="right"/>
    </xf>
    <xf numFmtId="3" fontId="1" fillId="6" borderId="1" xfId="0" applyNumberFormat="1" applyFont="1" applyFill="1" applyBorder="1"/>
    <xf numFmtId="0" fontId="0" fillId="6" borderId="8" xfId="0" applyFill="1" applyBorder="1"/>
    <xf numFmtId="0" fontId="0" fillId="6" borderId="1" xfId="0" applyFill="1" applyBorder="1"/>
    <xf numFmtId="3" fontId="1" fillId="6" borderId="9" xfId="0" applyNumberFormat="1" applyFont="1" applyFill="1" applyBorder="1"/>
    <xf numFmtId="0" fontId="1" fillId="7" borderId="6" xfId="0" applyFont="1" applyFill="1" applyBorder="1"/>
    <xf numFmtId="0" fontId="1" fillId="7" borderId="0" xfId="0" applyFont="1" applyFill="1"/>
    <xf numFmtId="3" fontId="1" fillId="7" borderId="0" xfId="0" applyNumberFormat="1" applyFont="1" applyFill="1" applyAlignment="1">
      <alignment horizontal="right"/>
    </xf>
    <xf numFmtId="3" fontId="1" fillId="7" borderId="0" xfId="0" applyNumberFormat="1" applyFont="1" applyFill="1"/>
    <xf numFmtId="0" fontId="0" fillId="7" borderId="6" xfId="0" applyFill="1" applyBorder="1"/>
    <xf numFmtId="0" fontId="0" fillId="7" borderId="0" xfId="0" applyFill="1"/>
    <xf numFmtId="0" fontId="1" fillId="7" borderId="8" xfId="0" applyFont="1" applyFill="1" applyBorder="1"/>
    <xf numFmtId="0" fontId="1" fillId="7" borderId="1" xfId="0" applyFont="1" applyFill="1" applyBorder="1"/>
    <xf numFmtId="3" fontId="1" fillId="7" borderId="1" xfId="0" applyNumberFormat="1" applyFont="1" applyFill="1" applyBorder="1" applyAlignment="1">
      <alignment horizontal="right"/>
    </xf>
    <xf numFmtId="3" fontId="1" fillId="7" borderId="1" xfId="0" applyNumberFormat="1" applyFont="1" applyFill="1" applyBorder="1"/>
    <xf numFmtId="0" fontId="0" fillId="7" borderId="8" xfId="0" applyFill="1" applyBorder="1"/>
    <xf numFmtId="0" fontId="0" fillId="7" borderId="1" xfId="0" applyFill="1" applyBorder="1"/>
    <xf numFmtId="3" fontId="1" fillId="7" borderId="9" xfId="0" applyNumberFormat="1" applyFont="1" applyFill="1" applyBorder="1"/>
    <xf numFmtId="0" fontId="1" fillId="8" borderId="3" xfId="0" applyFont="1" applyFill="1" applyBorder="1"/>
    <xf numFmtId="0" fontId="1" fillId="8" borderId="4" xfId="0" applyFont="1" applyFill="1" applyBorder="1"/>
    <xf numFmtId="3" fontId="1" fillId="8" borderId="4" xfId="0" applyNumberFormat="1" applyFont="1" applyFill="1" applyBorder="1" applyAlignment="1">
      <alignment horizontal="right"/>
    </xf>
    <xf numFmtId="3" fontId="1" fillId="8" borderId="4" xfId="0" applyNumberFormat="1" applyFont="1" applyFill="1" applyBorder="1"/>
    <xf numFmtId="0" fontId="0" fillId="8" borderId="4" xfId="0" applyFill="1" applyBorder="1"/>
    <xf numFmtId="3" fontId="0" fillId="8" borderId="4" xfId="0" applyNumberFormat="1" applyFill="1" applyBorder="1"/>
    <xf numFmtId="3" fontId="1" fillId="8" borderId="5" xfId="0" applyNumberFormat="1" applyFont="1" applyFill="1" applyBorder="1"/>
    <xf numFmtId="0" fontId="3" fillId="8" borderId="6" xfId="0" applyFont="1" applyFill="1" applyBorder="1"/>
    <xf numFmtId="0" fontId="0" fillId="8" borderId="0" xfId="0" applyFill="1"/>
    <xf numFmtId="0" fontId="0" fillId="8" borderId="7" xfId="0" applyFill="1" applyBorder="1"/>
    <xf numFmtId="0" fontId="0" fillId="8" borderId="6" xfId="0" applyFill="1" applyBorder="1"/>
    <xf numFmtId="0" fontId="0" fillId="8" borderId="8" xfId="0" applyFill="1" applyBorder="1"/>
    <xf numFmtId="0" fontId="0" fillId="8" borderId="1" xfId="0" applyFill="1" applyBorder="1"/>
    <xf numFmtId="0" fontId="0" fillId="8" borderId="9" xfId="0" applyFill="1" applyBorder="1"/>
    <xf numFmtId="10" fontId="0" fillId="6" borderId="0" xfId="0" applyNumberFormat="1" applyFill="1"/>
    <xf numFmtId="3" fontId="0" fillId="9" borderId="0" xfId="0" applyNumberFormat="1" applyFill="1" applyProtection="1">
      <protection locked="0"/>
    </xf>
    <xf numFmtId="4" fontId="5" fillId="10" borderId="0" xfId="0" applyNumberFormat="1" applyFont="1" applyFill="1" applyProtection="1">
      <protection locked="0"/>
    </xf>
    <xf numFmtId="3" fontId="3" fillId="9" borderId="0" xfId="0" applyNumberFormat="1" applyFont="1" applyFill="1" applyProtection="1">
      <protection locked="0"/>
    </xf>
    <xf numFmtId="0" fontId="7" fillId="3" borderId="0" xfId="0" applyFont="1" applyFill="1" applyAlignment="1">
      <alignment horizontal="right"/>
    </xf>
    <xf numFmtId="0" fontId="4" fillId="3" borderId="6" xfId="0" applyFont="1" applyFill="1" applyBorder="1"/>
    <xf numFmtId="0" fontId="4" fillId="3" borderId="0" xfId="0" applyFont="1" applyFill="1"/>
    <xf numFmtId="0" fontId="0" fillId="2" borderId="7" xfId="0" applyFill="1" applyBorder="1"/>
    <xf numFmtId="0" fontId="11" fillId="6" borderId="0" xfId="0" applyFont="1" applyFill="1"/>
    <xf numFmtId="0" fontId="1" fillId="5" borderId="11" xfId="0" applyFont="1"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0" fillId="0" borderId="3" xfId="0" applyFont="1" applyBorder="1" applyAlignment="1">
      <alignment horizontal="center" wrapText="1"/>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wrapText="1"/>
    </xf>
    <xf numFmtId="0" fontId="10" fillId="0" borderId="0" xfId="0" applyFont="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1" xfId="0" applyFont="1" applyBorder="1" applyAlignment="1">
      <alignment horizontal="center"/>
    </xf>
    <xf numFmtId="0" fontId="10" fillId="0" borderId="9" xfId="0" applyFont="1" applyBorder="1" applyAlignment="1">
      <alignment horizontal="center"/>
    </xf>
    <xf numFmtId="0" fontId="1" fillId="2" borderId="6" xfId="0" applyFont="1" applyFill="1" applyBorder="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9A6D-23FA-41FA-BA3E-4B25037D7428}">
  <dimension ref="A1:P96"/>
  <sheetViews>
    <sheetView tabSelected="1" workbookViewId="0">
      <selection activeCell="E13" sqref="E13"/>
    </sheetView>
  </sheetViews>
  <sheetFormatPr defaultColWidth="9.140625" defaultRowHeight="12.75" x14ac:dyDescent="0.2"/>
  <cols>
    <col min="1" max="1" width="29.140625" customWidth="1"/>
    <col min="5" max="5" width="10.7109375" bestFit="1" customWidth="1"/>
    <col min="6" max="7" width="3.7109375" customWidth="1"/>
    <col min="8" max="8" width="29.140625" customWidth="1"/>
    <col min="12" max="12" width="10.7109375" customWidth="1"/>
    <col min="13" max="13" width="22" customWidth="1"/>
    <col min="14" max="14" width="11" bestFit="1" customWidth="1"/>
    <col min="15" max="15" width="9.140625" hidden="1" customWidth="1"/>
    <col min="17" max="17" width="9.5703125" customWidth="1"/>
  </cols>
  <sheetData>
    <row r="1" spans="1:15" x14ac:dyDescent="0.2">
      <c r="A1" s="125" t="s">
        <v>84</v>
      </c>
      <c r="B1" s="126"/>
      <c r="C1" s="126"/>
      <c r="D1" s="126"/>
      <c r="E1" s="126"/>
      <c r="F1" s="126"/>
      <c r="G1" s="126"/>
      <c r="H1" s="126"/>
      <c r="I1" s="126"/>
      <c r="J1" s="126"/>
      <c r="K1" s="126"/>
      <c r="L1" s="126"/>
      <c r="M1" s="127"/>
      <c r="O1" t="s">
        <v>43</v>
      </c>
    </row>
    <row r="2" spans="1:15" x14ac:dyDescent="0.2">
      <c r="A2" s="128" t="s">
        <v>61</v>
      </c>
      <c r="B2" s="129"/>
      <c r="C2" s="129"/>
      <c r="D2" s="129"/>
      <c r="E2" s="129"/>
      <c r="F2" s="129"/>
      <c r="G2" s="129"/>
      <c r="H2" s="129"/>
      <c r="I2" s="129"/>
      <c r="J2" s="129"/>
      <c r="K2" s="129"/>
      <c r="L2" s="129"/>
      <c r="M2" s="130"/>
      <c r="O2" t="s">
        <v>44</v>
      </c>
    </row>
    <row r="3" spans="1:15" x14ac:dyDescent="0.2">
      <c r="A3" s="131"/>
      <c r="B3" s="132"/>
      <c r="C3" s="132"/>
      <c r="D3" s="132"/>
      <c r="E3" s="132"/>
      <c r="F3" s="132"/>
      <c r="G3" s="132"/>
      <c r="H3" s="132"/>
      <c r="I3" s="132"/>
      <c r="J3" s="132"/>
      <c r="K3" s="132"/>
      <c r="L3" s="132"/>
      <c r="M3" s="133"/>
    </row>
    <row r="4" spans="1:15" x14ac:dyDescent="0.2">
      <c r="A4" s="131"/>
      <c r="B4" s="132"/>
      <c r="C4" s="132"/>
      <c r="D4" s="132"/>
      <c r="E4" s="132"/>
      <c r="F4" s="132"/>
      <c r="G4" s="132"/>
      <c r="H4" s="132"/>
      <c r="I4" s="132"/>
      <c r="J4" s="132"/>
      <c r="K4" s="132"/>
      <c r="L4" s="132"/>
      <c r="M4" s="133"/>
    </row>
    <row r="5" spans="1:15" x14ac:dyDescent="0.2">
      <c r="A5" s="131"/>
      <c r="B5" s="132"/>
      <c r="C5" s="132"/>
      <c r="D5" s="132"/>
      <c r="E5" s="132"/>
      <c r="F5" s="132"/>
      <c r="G5" s="132"/>
      <c r="H5" s="132"/>
      <c r="I5" s="132"/>
      <c r="J5" s="132"/>
      <c r="K5" s="132"/>
      <c r="L5" s="132"/>
      <c r="M5" s="133"/>
    </row>
    <row r="6" spans="1:15" x14ac:dyDescent="0.2">
      <c r="A6" s="131"/>
      <c r="B6" s="132"/>
      <c r="C6" s="132"/>
      <c r="D6" s="132"/>
      <c r="E6" s="132"/>
      <c r="F6" s="132"/>
      <c r="G6" s="132"/>
      <c r="H6" s="132"/>
      <c r="I6" s="132"/>
      <c r="J6" s="132"/>
      <c r="K6" s="132"/>
      <c r="L6" s="132"/>
      <c r="M6" s="133"/>
    </row>
    <row r="7" spans="1:15" x14ac:dyDescent="0.2">
      <c r="A7" s="134"/>
      <c r="B7" s="135"/>
      <c r="C7" s="135"/>
      <c r="D7" s="135"/>
      <c r="E7" s="135"/>
      <c r="F7" s="135"/>
      <c r="G7" s="135"/>
      <c r="H7" s="135"/>
      <c r="I7" s="135"/>
      <c r="J7" s="135"/>
      <c r="K7" s="135"/>
      <c r="L7" s="135"/>
      <c r="M7" s="136"/>
    </row>
    <row r="8" spans="1:15" x14ac:dyDescent="0.2">
      <c r="A8" s="10"/>
      <c r="B8" s="11"/>
      <c r="C8" s="11"/>
      <c r="D8" s="11"/>
      <c r="E8" s="12"/>
      <c r="F8" s="13"/>
      <c r="G8" s="14"/>
      <c r="H8" s="11"/>
      <c r="I8" s="11"/>
      <c r="J8" s="11"/>
      <c r="K8" s="11"/>
      <c r="L8" s="11"/>
      <c r="M8" s="13"/>
      <c r="N8" s="15"/>
    </row>
    <row r="9" spans="1:15" x14ac:dyDescent="0.2">
      <c r="A9" s="137" t="s">
        <v>59</v>
      </c>
      <c r="B9" s="138"/>
      <c r="C9" s="138"/>
      <c r="D9" s="138"/>
      <c r="E9" s="138"/>
      <c r="F9" s="139"/>
      <c r="G9" s="16"/>
      <c r="H9" s="138" t="s">
        <v>14</v>
      </c>
      <c r="I9" s="138"/>
      <c r="J9" s="138"/>
      <c r="K9" s="138"/>
      <c r="L9" s="138"/>
      <c r="M9" s="123"/>
      <c r="N9" s="15"/>
    </row>
    <row r="10" spans="1:15" x14ac:dyDescent="0.2">
      <c r="A10" s="17"/>
      <c r="B10" s="18"/>
      <c r="C10" s="18"/>
      <c r="D10" s="18"/>
      <c r="E10" s="19"/>
      <c r="F10" s="20"/>
      <c r="G10" s="21"/>
      <c r="H10" s="18"/>
      <c r="I10" s="18"/>
      <c r="J10" s="18"/>
      <c r="K10" s="18"/>
      <c r="L10" s="18"/>
      <c r="M10" s="20"/>
      <c r="N10" s="15"/>
    </row>
    <row r="11" spans="1:15" x14ac:dyDescent="0.2">
      <c r="A11" s="121" t="s">
        <v>62</v>
      </c>
      <c r="B11" s="23"/>
      <c r="C11" s="23"/>
      <c r="D11" s="23"/>
      <c r="E11" s="24"/>
      <c r="F11" s="25"/>
      <c r="G11" s="26"/>
      <c r="H11" s="122" t="s">
        <v>62</v>
      </c>
      <c r="I11" s="23"/>
      <c r="J11" s="23"/>
      <c r="K11" s="23"/>
      <c r="L11" s="23"/>
      <c r="M11" s="24"/>
      <c r="N11" s="15"/>
    </row>
    <row r="12" spans="1:15" s="1" customFormat="1" x14ac:dyDescent="0.2">
      <c r="A12" s="27" t="s">
        <v>0</v>
      </c>
      <c r="B12" s="28"/>
      <c r="C12" s="28"/>
      <c r="D12" s="28"/>
      <c r="E12" s="29"/>
      <c r="F12" s="30"/>
      <c r="G12" s="31"/>
      <c r="H12" s="28" t="s">
        <v>16</v>
      </c>
      <c r="I12" s="28"/>
      <c r="J12" s="28"/>
      <c r="K12" s="28"/>
      <c r="L12" s="29"/>
      <c r="M12" s="29"/>
      <c r="N12" s="32"/>
    </row>
    <row r="13" spans="1:15" x14ac:dyDescent="0.2">
      <c r="A13" s="33" t="s">
        <v>46</v>
      </c>
      <c r="B13" s="23"/>
      <c r="C13" s="23"/>
      <c r="D13" s="23"/>
      <c r="E13" s="117">
        <v>130000</v>
      </c>
      <c r="F13" s="25"/>
      <c r="G13" s="26"/>
      <c r="H13" s="34" t="s">
        <v>65</v>
      </c>
      <c r="I13" s="23"/>
      <c r="J13" s="23"/>
      <c r="K13" s="23"/>
      <c r="L13" s="119">
        <v>75000</v>
      </c>
      <c r="M13" s="24"/>
      <c r="N13" s="15"/>
    </row>
    <row r="14" spans="1:15" x14ac:dyDescent="0.2">
      <c r="A14" s="22" t="s">
        <v>1</v>
      </c>
      <c r="B14" s="23"/>
      <c r="C14" s="23"/>
      <c r="D14" s="118" t="s">
        <v>47</v>
      </c>
      <c r="E14" s="24">
        <f>IF(D14="Ja",-2470,0)</f>
        <v>-2470</v>
      </c>
      <c r="F14" s="25"/>
      <c r="G14" s="26"/>
      <c r="H14" s="34"/>
      <c r="I14" s="23"/>
      <c r="J14" s="23"/>
      <c r="K14" s="23"/>
      <c r="L14" s="35"/>
      <c r="M14" s="24"/>
      <c r="N14" s="15"/>
    </row>
    <row r="15" spans="1:15" x14ac:dyDescent="0.2">
      <c r="A15" s="22" t="s">
        <v>42</v>
      </c>
      <c r="B15" s="23"/>
      <c r="C15" s="23"/>
      <c r="D15" s="118" t="s">
        <v>47</v>
      </c>
      <c r="E15" s="24">
        <f>IF(AND(D14="ja",D15="Ja"),-2123,0)</f>
        <v>-2123</v>
      </c>
      <c r="F15" s="25"/>
      <c r="G15" s="26"/>
      <c r="H15" s="28" t="s">
        <v>18</v>
      </c>
      <c r="I15" s="23"/>
      <c r="J15" s="23"/>
      <c r="K15" s="23"/>
      <c r="L15" s="35"/>
      <c r="M15" s="24"/>
      <c r="N15" s="15"/>
    </row>
    <row r="16" spans="1:15" x14ac:dyDescent="0.2">
      <c r="A16" s="33" t="s">
        <v>85</v>
      </c>
      <c r="B16" s="23"/>
      <c r="C16" s="36"/>
      <c r="D16" s="23"/>
      <c r="E16" s="37">
        <f>-(E13+E14+E15)*12.7%</f>
        <v>-15926.689</v>
      </c>
      <c r="F16" s="25"/>
      <c r="G16" s="26"/>
      <c r="H16" s="34" t="s">
        <v>19</v>
      </c>
      <c r="I16" s="23"/>
      <c r="J16" s="36"/>
      <c r="K16" s="23"/>
      <c r="L16" s="24">
        <v>0</v>
      </c>
      <c r="M16" s="24"/>
      <c r="N16" s="15"/>
    </row>
    <row r="17" spans="1:16" x14ac:dyDescent="0.2">
      <c r="A17" s="22" t="s">
        <v>50</v>
      </c>
      <c r="B17" s="23"/>
      <c r="C17" s="23"/>
      <c r="D17" s="23"/>
      <c r="E17" s="24">
        <f>SUM(E13:E16)</f>
        <v>109480.311</v>
      </c>
      <c r="F17" s="25"/>
      <c r="G17" s="26"/>
      <c r="H17" s="23" t="s">
        <v>10</v>
      </c>
      <c r="I17" s="23"/>
      <c r="J17" s="23"/>
      <c r="K17" s="23"/>
      <c r="L17" s="24"/>
      <c r="M17" s="24"/>
      <c r="N17" s="32"/>
      <c r="O17" s="1"/>
      <c r="P17" s="1"/>
    </row>
    <row r="18" spans="1:16" x14ac:dyDescent="0.2">
      <c r="A18" s="22"/>
      <c r="B18" s="23"/>
      <c r="C18" s="23"/>
      <c r="D18" s="23"/>
      <c r="E18" s="24"/>
      <c r="F18" s="25"/>
      <c r="G18" s="26"/>
      <c r="H18" s="23"/>
      <c r="I18" s="23"/>
      <c r="J18" s="23"/>
      <c r="K18" s="23"/>
      <c r="L18" s="24"/>
      <c r="M18" s="24"/>
      <c r="N18" s="32"/>
      <c r="O18" s="1"/>
      <c r="P18" s="1"/>
    </row>
    <row r="19" spans="1:16" s="1" customFormat="1" x14ac:dyDescent="0.2">
      <c r="A19" s="27" t="s">
        <v>2</v>
      </c>
      <c r="B19" s="28"/>
      <c r="C19" s="28"/>
      <c r="D19" s="28"/>
      <c r="E19" s="29"/>
      <c r="F19" s="30"/>
      <c r="G19" s="31"/>
      <c r="H19" s="28" t="s">
        <v>2</v>
      </c>
      <c r="I19" s="28"/>
      <c r="J19" s="28"/>
      <c r="K19" s="28"/>
      <c r="L19" s="29"/>
      <c r="M19" s="29"/>
      <c r="N19" s="15"/>
      <c r="O19"/>
      <c r="P19"/>
    </row>
    <row r="20" spans="1:16" x14ac:dyDescent="0.2">
      <c r="A20" s="33" t="s">
        <v>64</v>
      </c>
      <c r="B20" s="23"/>
      <c r="C20" s="38" t="s">
        <v>48</v>
      </c>
      <c r="D20" s="117">
        <v>300000</v>
      </c>
      <c r="E20" s="24">
        <f>D20*0.35%</f>
        <v>1050</v>
      </c>
      <c r="F20" s="25"/>
      <c r="G20" s="26"/>
      <c r="H20" s="34" t="s">
        <v>64</v>
      </c>
      <c r="I20" s="23"/>
      <c r="J20" s="23"/>
      <c r="K20" s="23"/>
      <c r="L20" s="24">
        <f>E20</f>
        <v>1050</v>
      </c>
      <c r="M20" s="24"/>
      <c r="N20" s="15"/>
    </row>
    <row r="21" spans="1:16" x14ac:dyDescent="0.2">
      <c r="A21" s="33" t="s">
        <v>25</v>
      </c>
      <c r="B21" s="23"/>
      <c r="C21" s="23"/>
      <c r="D21" s="120" t="s">
        <v>60</v>
      </c>
      <c r="E21" s="117">
        <v>-8500</v>
      </c>
      <c r="F21" s="25"/>
      <c r="G21" s="26"/>
      <c r="H21" s="23" t="s">
        <v>3</v>
      </c>
      <c r="I21" s="23"/>
      <c r="J21" s="23"/>
      <c r="K21" s="23"/>
      <c r="L21" s="24">
        <f>E21</f>
        <v>-8500</v>
      </c>
      <c r="M21" s="24"/>
      <c r="N21" s="15"/>
    </row>
    <row r="22" spans="1:16" x14ac:dyDescent="0.2">
      <c r="A22" s="22"/>
      <c r="B22" s="23"/>
      <c r="C22" s="23"/>
      <c r="D22" s="23"/>
      <c r="E22" s="24"/>
      <c r="F22" s="25"/>
      <c r="G22" s="26"/>
      <c r="H22" s="23"/>
      <c r="I22" s="23"/>
      <c r="J22" s="23"/>
      <c r="K22" s="23"/>
      <c r="L22" s="24"/>
      <c r="M22" s="24"/>
      <c r="N22" s="32"/>
      <c r="O22" s="1"/>
      <c r="P22" s="1"/>
    </row>
    <row r="23" spans="1:16" s="1" customFormat="1" x14ac:dyDescent="0.2">
      <c r="A23" s="27" t="s">
        <v>4</v>
      </c>
      <c r="B23" s="28"/>
      <c r="C23" s="28"/>
      <c r="D23" s="28"/>
      <c r="E23" s="29"/>
      <c r="F23" s="30"/>
      <c r="G23" s="31"/>
      <c r="H23" s="28" t="s">
        <v>4</v>
      </c>
      <c r="I23" s="28"/>
      <c r="J23" s="28"/>
      <c r="K23" s="28"/>
      <c r="L23" s="29"/>
      <c r="M23" s="29"/>
      <c r="N23" s="15"/>
      <c r="O23"/>
      <c r="P23"/>
    </row>
    <row r="24" spans="1:16" x14ac:dyDescent="0.2">
      <c r="A24" s="22" t="s">
        <v>12</v>
      </c>
      <c r="B24" s="23"/>
      <c r="C24" s="23"/>
      <c r="D24" s="120" t="s">
        <v>60</v>
      </c>
      <c r="E24" s="117">
        <v>-5000</v>
      </c>
      <c r="F24" s="25"/>
      <c r="G24" s="26"/>
      <c r="H24" s="23" t="s">
        <v>12</v>
      </c>
      <c r="I24" s="23"/>
      <c r="J24" s="23"/>
      <c r="K24" s="34"/>
      <c r="L24" s="35">
        <f>E24</f>
        <v>-5000</v>
      </c>
      <c r="M24" s="24"/>
      <c r="N24" s="15"/>
    </row>
    <row r="25" spans="1:16" x14ac:dyDescent="0.2">
      <c r="A25" s="33" t="s">
        <v>45</v>
      </c>
      <c r="B25" s="23"/>
      <c r="C25" s="23"/>
      <c r="D25" s="120" t="s">
        <v>60</v>
      </c>
      <c r="E25" s="117">
        <v>-10000</v>
      </c>
      <c r="F25" s="25"/>
      <c r="G25" s="26"/>
      <c r="H25" s="23" t="s">
        <v>41</v>
      </c>
      <c r="I25" s="23"/>
      <c r="J25" s="23"/>
      <c r="K25" s="23"/>
      <c r="L25" s="37">
        <f>+E25</f>
        <v>-10000</v>
      </c>
      <c r="M25" s="24"/>
      <c r="N25" s="32"/>
      <c r="O25" s="1"/>
      <c r="P25" s="1"/>
    </row>
    <row r="26" spans="1:16" s="1" customFormat="1" ht="13.5" thickBot="1" x14ac:dyDescent="0.25">
      <c r="A26" s="27" t="s">
        <v>5</v>
      </c>
      <c r="B26" s="28"/>
      <c r="C26" s="28"/>
      <c r="D26" s="28"/>
      <c r="E26" s="39">
        <f>SUM(E17:E25)</f>
        <v>87030.311000000002</v>
      </c>
      <c r="F26" s="30"/>
      <c r="G26" s="31"/>
      <c r="H26" s="28" t="s">
        <v>5</v>
      </c>
      <c r="I26" s="28"/>
      <c r="J26" s="28"/>
      <c r="K26" s="28"/>
      <c r="L26" s="39">
        <f>SUM(L13:L25)</f>
        <v>52550</v>
      </c>
      <c r="M26" s="29"/>
      <c r="N26" s="15"/>
      <c r="O26"/>
      <c r="P26"/>
    </row>
    <row r="27" spans="1:16" ht="13.5" thickTop="1" x14ac:dyDescent="0.2">
      <c r="A27" s="22"/>
      <c r="B27" s="23"/>
      <c r="C27" s="23"/>
      <c r="D27" s="23"/>
      <c r="E27" s="24"/>
      <c r="F27" s="25"/>
      <c r="G27" s="26"/>
      <c r="H27" s="23"/>
      <c r="I27" s="23"/>
      <c r="J27" s="23"/>
      <c r="K27" s="23"/>
      <c r="L27" s="24"/>
      <c r="M27" s="24"/>
      <c r="N27" s="32"/>
      <c r="O27" s="1"/>
      <c r="P27" s="1"/>
    </row>
    <row r="28" spans="1:16" s="1" customFormat="1" x14ac:dyDescent="0.2">
      <c r="A28" s="27"/>
      <c r="B28" s="28"/>
      <c r="C28" s="28"/>
      <c r="D28" s="28"/>
      <c r="E28" s="40"/>
      <c r="F28" s="30"/>
      <c r="G28" s="31"/>
      <c r="H28" s="28"/>
      <c r="I28" s="28"/>
      <c r="J28" s="28"/>
      <c r="K28" s="28"/>
      <c r="L28" s="40"/>
      <c r="M28" s="29"/>
      <c r="N28" s="15"/>
      <c r="O28"/>
      <c r="P28"/>
    </row>
    <row r="29" spans="1:16" s="1" customFormat="1" x14ac:dyDescent="0.2">
      <c r="A29" s="41" t="s">
        <v>6</v>
      </c>
      <c r="B29" s="23"/>
      <c r="C29" s="23"/>
      <c r="D29" s="23"/>
      <c r="E29" s="24"/>
      <c r="F29" s="30"/>
      <c r="G29" s="31"/>
      <c r="H29" s="42" t="s">
        <v>6</v>
      </c>
      <c r="I29" s="23"/>
      <c r="J29" s="23"/>
      <c r="K29" s="23"/>
      <c r="L29" s="24"/>
      <c r="M29" s="29"/>
      <c r="N29" s="15"/>
      <c r="O29"/>
      <c r="P29"/>
    </row>
    <row r="30" spans="1:16" s="1" customFormat="1" x14ac:dyDescent="0.2">
      <c r="A30" s="22"/>
      <c r="B30" s="23"/>
      <c r="C30" s="23"/>
      <c r="D30" s="23"/>
      <c r="E30" s="24"/>
      <c r="F30" s="30"/>
      <c r="G30" s="31"/>
      <c r="H30" s="23"/>
      <c r="I30" s="23"/>
      <c r="J30" s="23"/>
      <c r="K30" s="23"/>
      <c r="L30" s="24"/>
      <c r="M30" s="29"/>
      <c r="N30" s="15"/>
      <c r="O30"/>
      <c r="P30"/>
    </row>
    <row r="31" spans="1:16" s="1" customFormat="1" x14ac:dyDescent="0.2">
      <c r="A31" s="33" t="s">
        <v>86</v>
      </c>
      <c r="B31" s="23">
        <v>0</v>
      </c>
      <c r="C31" s="24">
        <v>38441</v>
      </c>
      <c r="D31" s="24"/>
      <c r="E31" s="24">
        <f>IF(E26&gt;0,IF(E26&lt;C31,+E26*35.82%,+C31*35.82%),0)</f>
        <v>13769.566200000001</v>
      </c>
      <c r="F31" s="30"/>
      <c r="G31" s="31"/>
      <c r="H31" s="34" t="s">
        <v>86</v>
      </c>
      <c r="I31" s="23">
        <v>0</v>
      </c>
      <c r="J31" s="24">
        <v>38441</v>
      </c>
      <c r="K31" s="24"/>
      <c r="L31" s="24">
        <f>IF(L26&gt;0,IF(L26&lt;J31,+L26*35.82%,+J31*35.82%),0)</f>
        <v>13769.566200000001</v>
      </c>
      <c r="M31" s="29"/>
      <c r="N31" s="15"/>
      <c r="O31"/>
      <c r="P31"/>
    </row>
    <row r="32" spans="1:16" s="1" customFormat="1" x14ac:dyDescent="0.2">
      <c r="A32" s="33" t="s">
        <v>87</v>
      </c>
      <c r="B32" s="24">
        <v>38441</v>
      </c>
      <c r="C32" s="24">
        <v>76817</v>
      </c>
      <c r="D32" s="24"/>
      <c r="E32" s="24">
        <f>IF(E26&gt;0,IF(E26&gt;C32,(C32-B32)*37.48%,IF(E26&gt;B32,(E26-B32)*37.48%,0)))</f>
        <v>14383.324799999999</v>
      </c>
      <c r="F32" s="30"/>
      <c r="G32" s="31"/>
      <c r="H32" s="34" t="s">
        <v>87</v>
      </c>
      <c r="I32" s="24">
        <v>38441</v>
      </c>
      <c r="J32" s="24">
        <v>76817</v>
      </c>
      <c r="K32" s="24"/>
      <c r="L32" s="24">
        <f>IF(L26&gt;0,IF(L26&gt;J32,(J32-I32)*37.48%,IF(L26&gt;I32,(L26-I32)*37.48%,0)))</f>
        <v>5288.0531999999994</v>
      </c>
      <c r="M32" s="29"/>
      <c r="N32" s="15"/>
      <c r="O32"/>
      <c r="P32"/>
    </row>
    <row r="33" spans="1:16" s="1" customFormat="1" x14ac:dyDescent="0.2">
      <c r="A33" s="33" t="s">
        <v>88</v>
      </c>
      <c r="B33" s="24">
        <v>76817</v>
      </c>
      <c r="C33" s="24">
        <v>0</v>
      </c>
      <c r="D33" s="24"/>
      <c r="E33" s="24">
        <f>IF(E26&gt;C32,(E26-C32)*49.5%,0)</f>
        <v>5055.5889450000004</v>
      </c>
      <c r="F33" s="30"/>
      <c r="G33" s="31"/>
      <c r="H33" s="34" t="s">
        <v>88</v>
      </c>
      <c r="I33" s="24">
        <v>76817</v>
      </c>
      <c r="J33" s="24">
        <v>0</v>
      </c>
      <c r="K33" s="24"/>
      <c r="L33" s="24">
        <f>IF(L26&gt;J32,(L26-J32)*49.5%,0)</f>
        <v>0</v>
      </c>
      <c r="M33" s="29"/>
      <c r="N33" s="15"/>
      <c r="O33"/>
      <c r="P33" s="2"/>
    </row>
    <row r="34" spans="1:16" s="1" customFormat="1" x14ac:dyDescent="0.2">
      <c r="A34" s="33" t="s">
        <v>89</v>
      </c>
      <c r="B34" s="23"/>
      <c r="C34" s="24">
        <f>IF(E26-B33&lt;0,0,IF(E26-B33&lt;SUM(-E14-E15-E16-E21),E26-B33,-E14-E15-E16-E21))</f>
        <v>10213.311000000002</v>
      </c>
      <c r="D34" s="23"/>
      <c r="E34" s="37">
        <f>(49.5%-37.48%)*C34</f>
        <v>1227.6399822000005</v>
      </c>
      <c r="F34" s="30"/>
      <c r="G34" s="31"/>
      <c r="H34" s="23" t="s">
        <v>89</v>
      </c>
      <c r="I34" s="23"/>
      <c r="J34" s="24">
        <f>IF(L26-I33&lt;0,0,IF(L26-I33&lt;SUM(-L14-L15-L16-L21),L26-I33,-L14-L15-L16-L21))</f>
        <v>0</v>
      </c>
      <c r="K34" s="23"/>
      <c r="L34" s="37">
        <f>(49.5%-37.48%)*J34</f>
        <v>0</v>
      </c>
      <c r="M34" s="29"/>
      <c r="N34" s="15"/>
      <c r="O34"/>
      <c r="P34"/>
    </row>
    <row r="35" spans="1:16" s="1" customFormat="1" x14ac:dyDescent="0.2">
      <c r="A35" s="22" t="s">
        <v>7</v>
      </c>
      <c r="B35" s="23"/>
      <c r="C35" s="24"/>
      <c r="D35" s="23"/>
      <c r="E35" s="24">
        <f>SUM(E31:E34)</f>
        <v>34436.119927200001</v>
      </c>
      <c r="F35" s="30"/>
      <c r="G35" s="31"/>
      <c r="H35" s="23" t="s">
        <v>7</v>
      </c>
      <c r="I35" s="23"/>
      <c r="J35" s="23"/>
      <c r="K35" s="23"/>
      <c r="L35" s="24">
        <f>SUM(L31:L33)</f>
        <v>19057.6194</v>
      </c>
      <c r="M35" s="29"/>
      <c r="N35" s="15"/>
      <c r="O35"/>
      <c r="P35"/>
    </row>
    <row r="36" spans="1:16" s="1" customFormat="1" x14ac:dyDescent="0.2">
      <c r="A36" s="22"/>
      <c r="B36" s="23"/>
      <c r="C36" s="23"/>
      <c r="D36" s="23"/>
      <c r="E36" s="24"/>
      <c r="F36" s="30"/>
      <c r="G36" s="31"/>
      <c r="H36" s="23"/>
      <c r="I36" s="23"/>
      <c r="J36" s="23"/>
      <c r="K36" s="23"/>
      <c r="L36" s="24"/>
      <c r="M36" s="29"/>
      <c r="N36" s="15"/>
      <c r="O36"/>
      <c r="P36"/>
    </row>
    <row r="37" spans="1:16" s="1" customFormat="1" x14ac:dyDescent="0.2">
      <c r="A37" s="33" t="s">
        <v>15</v>
      </c>
      <c r="B37" s="23"/>
      <c r="C37" s="23"/>
      <c r="D37" s="23"/>
      <c r="E37" s="24">
        <f>-'Heffingskortingen 2025'!E8</f>
        <v>0</v>
      </c>
      <c r="F37" s="30"/>
      <c r="G37" s="31"/>
      <c r="H37" s="34" t="s">
        <v>15</v>
      </c>
      <c r="I37" s="23"/>
      <c r="J37" s="23"/>
      <c r="K37" s="23"/>
      <c r="L37" s="24">
        <f>-'Heffingskortingen 2025'!E17</f>
        <v>-1761.2528</v>
      </c>
      <c r="M37" s="29"/>
      <c r="N37" s="15"/>
      <c r="O37"/>
      <c r="P37"/>
    </row>
    <row r="38" spans="1:16" s="1" customFormat="1" x14ac:dyDescent="0.2">
      <c r="A38" s="22" t="s">
        <v>51</v>
      </c>
      <c r="B38" s="23"/>
      <c r="C38" s="23"/>
      <c r="D38" s="23"/>
      <c r="E38" s="24">
        <f>-'Heffingskortingen 2025'!E28</f>
        <v>-1275.619263900001</v>
      </c>
      <c r="F38" s="30"/>
      <c r="G38" s="31"/>
      <c r="H38" s="23" t="s">
        <v>13</v>
      </c>
      <c r="I38" s="23"/>
      <c r="J38" s="23"/>
      <c r="K38" s="23"/>
      <c r="L38" s="24">
        <f>-'Heffingskortingen 2025'!E39</f>
        <v>-3520.2875100000006</v>
      </c>
      <c r="M38" s="29"/>
      <c r="N38" s="15"/>
      <c r="O38"/>
      <c r="P38"/>
    </row>
    <row r="39" spans="1:16" s="1" customFormat="1" x14ac:dyDescent="0.2">
      <c r="A39" s="43" t="s">
        <v>52</v>
      </c>
      <c r="B39" s="23"/>
      <c r="C39" s="23"/>
      <c r="D39" s="23"/>
      <c r="E39" s="24"/>
      <c r="F39" s="30"/>
      <c r="G39" s="31"/>
      <c r="H39" s="23"/>
      <c r="I39" s="23"/>
      <c r="J39" s="23"/>
      <c r="K39" s="23"/>
      <c r="L39" s="24"/>
      <c r="M39" s="29"/>
      <c r="N39" s="15"/>
      <c r="O39"/>
      <c r="P39"/>
    </row>
    <row r="40" spans="1:16" s="1" customFormat="1" x14ac:dyDescent="0.2">
      <c r="A40" s="44" t="s">
        <v>53</v>
      </c>
      <c r="B40" s="23"/>
      <c r="C40" s="23"/>
      <c r="D40" s="23"/>
      <c r="E40" s="37"/>
      <c r="F40" s="30"/>
      <c r="G40" s="31"/>
      <c r="H40" s="23"/>
      <c r="I40" s="23"/>
      <c r="J40" s="23"/>
      <c r="K40" s="23"/>
      <c r="L40" s="37"/>
      <c r="M40" s="29"/>
      <c r="N40" s="15"/>
      <c r="O40"/>
      <c r="P40"/>
    </row>
    <row r="41" spans="1:16" s="1" customFormat="1" ht="13.5" thickBot="1" x14ac:dyDescent="0.25">
      <c r="A41" s="22" t="s">
        <v>8</v>
      </c>
      <c r="B41" s="23"/>
      <c r="C41" s="23"/>
      <c r="D41" s="23"/>
      <c r="E41" s="45">
        <f>SUM(E35:E38)</f>
        <v>33160.500663300001</v>
      </c>
      <c r="F41" s="30"/>
      <c r="G41" s="31"/>
      <c r="H41" s="23" t="s">
        <v>8</v>
      </c>
      <c r="I41" s="23"/>
      <c r="J41" s="23"/>
      <c r="K41" s="23"/>
      <c r="L41" s="45">
        <f>SUM(L35:L38)</f>
        <v>13776.079090000001</v>
      </c>
      <c r="M41" s="29"/>
      <c r="N41" s="15"/>
      <c r="O41"/>
      <c r="P41"/>
    </row>
    <row r="42" spans="1:16" s="1" customFormat="1" ht="13.5" thickTop="1" x14ac:dyDescent="0.2">
      <c r="A42" s="22"/>
      <c r="B42" s="23"/>
      <c r="C42" s="23"/>
      <c r="D42" s="23"/>
      <c r="E42" s="24"/>
      <c r="F42" s="30"/>
      <c r="G42" s="31"/>
      <c r="H42" s="23"/>
      <c r="I42" s="23"/>
      <c r="J42" s="23"/>
      <c r="K42" s="23"/>
      <c r="L42" s="24"/>
      <c r="M42" s="29"/>
      <c r="N42" s="15"/>
      <c r="O42"/>
      <c r="P42"/>
    </row>
    <row r="43" spans="1:16" s="1" customFormat="1" x14ac:dyDescent="0.2">
      <c r="A43" s="41" t="s">
        <v>49</v>
      </c>
      <c r="B43" s="23"/>
      <c r="C43" s="23"/>
      <c r="D43" s="23"/>
      <c r="E43" s="24"/>
      <c r="F43" s="30"/>
      <c r="G43" s="31"/>
      <c r="H43" s="42" t="s">
        <v>49</v>
      </c>
      <c r="I43" s="23"/>
      <c r="J43" s="23"/>
      <c r="K43" s="23"/>
      <c r="L43" s="24"/>
      <c r="M43" s="29"/>
      <c r="N43" s="15"/>
      <c r="O43"/>
      <c r="P43"/>
    </row>
    <row r="44" spans="1:16" s="1" customFormat="1" x14ac:dyDescent="0.2">
      <c r="A44" s="41"/>
      <c r="B44" s="23"/>
      <c r="C44" s="23"/>
      <c r="D44" s="23"/>
      <c r="E44" s="24"/>
      <c r="F44" s="30"/>
      <c r="G44" s="31"/>
      <c r="H44" s="42"/>
      <c r="I44" s="23"/>
      <c r="J44" s="23"/>
      <c r="K44" s="23"/>
      <c r="L44" s="24"/>
      <c r="M44" s="29"/>
      <c r="N44" s="15"/>
      <c r="O44"/>
      <c r="P44"/>
    </row>
    <row r="45" spans="1:16" s="1" customFormat="1" ht="13.5" thickBot="1" x14ac:dyDescent="0.25">
      <c r="A45" s="46">
        <v>5.2600000000000001E-2</v>
      </c>
      <c r="B45" s="24">
        <f>E17</f>
        <v>109480.311</v>
      </c>
      <c r="C45" s="47" t="s">
        <v>98</v>
      </c>
      <c r="D45" s="23"/>
      <c r="E45" s="45">
        <f>IF(B45&lt;0,0,IF(B45&gt;75860,75860*A45,A45*B45))</f>
        <v>3990.2359999999999</v>
      </c>
      <c r="F45" s="30"/>
      <c r="G45" s="31"/>
      <c r="H45" s="48">
        <v>5.2600000000000001E-2</v>
      </c>
      <c r="I45" s="24">
        <f>L13</f>
        <v>75000</v>
      </c>
      <c r="J45" s="47" t="s">
        <v>98</v>
      </c>
      <c r="K45" s="23"/>
      <c r="L45" s="45">
        <f>IF(I45&lt;0,0,IF(I45&gt;75860,75860*H45,H45*I45))</f>
        <v>3945</v>
      </c>
      <c r="M45" s="29"/>
      <c r="N45" s="15"/>
      <c r="O45"/>
      <c r="P45"/>
    </row>
    <row r="46" spans="1:16" s="1" customFormat="1" ht="13.5" thickTop="1" x14ac:dyDescent="0.2">
      <c r="A46" s="27"/>
      <c r="B46" s="28"/>
      <c r="C46" s="28"/>
      <c r="D46" s="28"/>
      <c r="E46" s="40"/>
      <c r="F46" s="30"/>
      <c r="G46" s="31"/>
      <c r="H46" s="23"/>
      <c r="I46" s="23"/>
      <c r="J46" s="23"/>
      <c r="K46" s="23"/>
      <c r="L46" s="23"/>
      <c r="M46" s="29"/>
      <c r="N46" s="15"/>
      <c r="O46"/>
      <c r="P46"/>
    </row>
    <row r="47" spans="1:16" s="1" customFormat="1" x14ac:dyDescent="0.2">
      <c r="A47" s="49"/>
      <c r="B47" s="50"/>
      <c r="C47" s="50"/>
      <c r="D47" s="50"/>
      <c r="E47" s="51"/>
      <c r="F47" s="52"/>
      <c r="G47" s="53"/>
      <c r="H47" s="54"/>
      <c r="I47" s="54"/>
      <c r="J47" s="54"/>
      <c r="K47" s="54"/>
      <c r="L47" s="54"/>
      <c r="M47" s="52"/>
      <c r="N47" s="15"/>
      <c r="O47"/>
      <c r="P47"/>
    </row>
    <row r="48" spans="1:16" s="1" customFormat="1" x14ac:dyDescent="0.2">
      <c r="A48" s="55"/>
      <c r="B48" s="56"/>
      <c r="C48" s="56"/>
      <c r="D48" s="56"/>
      <c r="E48" s="57"/>
      <c r="F48" s="58"/>
      <c r="G48" s="59"/>
      <c r="H48" s="56" t="s">
        <v>20</v>
      </c>
      <c r="I48" s="60"/>
      <c r="J48" s="60"/>
      <c r="K48" s="60"/>
      <c r="L48" s="60"/>
      <c r="M48" s="61"/>
      <c r="N48" s="15"/>
      <c r="O48"/>
      <c r="P48"/>
    </row>
    <row r="49" spans="1:16" s="1" customFormat="1" x14ac:dyDescent="0.2">
      <c r="A49" s="55"/>
      <c r="B49" s="56"/>
      <c r="C49" s="56"/>
      <c r="D49" s="56"/>
      <c r="E49" s="57"/>
      <c r="F49" s="58"/>
      <c r="G49" s="59"/>
      <c r="H49" s="60"/>
      <c r="I49" s="60"/>
      <c r="J49" s="60"/>
      <c r="K49" s="60"/>
      <c r="L49" s="60"/>
      <c r="M49" s="61"/>
      <c r="N49" s="15"/>
      <c r="O49"/>
      <c r="P49"/>
    </row>
    <row r="50" spans="1:16" s="1" customFormat="1" x14ac:dyDescent="0.2">
      <c r="A50" s="55"/>
      <c r="B50" s="56"/>
      <c r="C50" s="56"/>
      <c r="D50" s="56"/>
      <c r="E50" s="57"/>
      <c r="F50" s="58"/>
      <c r="G50" s="59"/>
      <c r="H50" s="56" t="s">
        <v>9</v>
      </c>
      <c r="I50" s="60"/>
      <c r="J50" s="60"/>
      <c r="K50" s="62"/>
      <c r="L50" s="60"/>
      <c r="M50" s="61"/>
      <c r="N50" s="15"/>
      <c r="O50"/>
      <c r="P50"/>
    </row>
    <row r="51" spans="1:16" s="1" customFormat="1" x14ac:dyDescent="0.2">
      <c r="A51" s="55"/>
      <c r="B51" s="56"/>
      <c r="C51" s="56"/>
      <c r="D51" s="56"/>
      <c r="E51" s="57"/>
      <c r="F51" s="58"/>
      <c r="G51" s="59"/>
      <c r="H51" s="60" t="s">
        <v>11</v>
      </c>
      <c r="I51" s="60"/>
      <c r="J51" s="60"/>
      <c r="K51" s="60"/>
      <c r="L51" s="62">
        <f>E13</f>
        <v>130000</v>
      </c>
      <c r="M51" s="61"/>
      <c r="N51" s="15"/>
      <c r="O51"/>
      <c r="P51"/>
    </row>
    <row r="52" spans="1:16" s="1" customFormat="1" x14ac:dyDescent="0.2">
      <c r="A52" s="55"/>
      <c r="B52" s="56"/>
      <c r="C52" s="56"/>
      <c r="D52" s="56"/>
      <c r="E52" s="57"/>
      <c r="F52" s="58"/>
      <c r="G52" s="59"/>
      <c r="H52" s="63" t="s">
        <v>17</v>
      </c>
      <c r="I52" s="60"/>
      <c r="J52" s="60"/>
      <c r="K52" s="60"/>
      <c r="L52" s="62">
        <f>-L13</f>
        <v>-75000</v>
      </c>
      <c r="M52" s="61"/>
      <c r="N52" s="15"/>
      <c r="O52"/>
      <c r="P52"/>
    </row>
    <row r="53" spans="1:16" s="1" customFormat="1" x14ac:dyDescent="0.2">
      <c r="A53" s="55"/>
      <c r="B53" s="56"/>
      <c r="C53" s="56"/>
      <c r="D53" s="56"/>
      <c r="E53" s="57"/>
      <c r="F53" s="58"/>
      <c r="G53" s="59"/>
      <c r="H53" s="60"/>
      <c r="I53" s="60"/>
      <c r="J53" s="60"/>
      <c r="K53" s="60"/>
      <c r="L53" s="64"/>
      <c r="M53" s="61"/>
      <c r="N53" s="65"/>
      <c r="O53"/>
      <c r="P53"/>
    </row>
    <row r="54" spans="1:16" s="1" customFormat="1" ht="13.5" thickBot="1" x14ac:dyDescent="0.25">
      <c r="A54" s="55"/>
      <c r="B54" s="56"/>
      <c r="C54" s="56"/>
      <c r="D54" s="56"/>
      <c r="E54" s="57"/>
      <c r="F54" s="58"/>
      <c r="G54" s="59"/>
      <c r="H54" s="56" t="s">
        <v>26</v>
      </c>
      <c r="I54" s="60"/>
      <c r="J54" s="60"/>
      <c r="K54" s="60"/>
      <c r="L54" s="66">
        <f>SUM(L50:L52)</f>
        <v>55000</v>
      </c>
      <c r="M54" s="61"/>
      <c r="N54" s="15"/>
      <c r="O54"/>
      <c r="P54"/>
    </row>
    <row r="55" spans="1:16" s="1" customFormat="1" ht="13.5" thickTop="1" x14ac:dyDescent="0.2">
      <c r="A55" s="55"/>
      <c r="B55" s="56"/>
      <c r="C55" s="56"/>
      <c r="D55" s="56"/>
      <c r="E55" s="57"/>
      <c r="F55" s="58"/>
      <c r="G55" s="61"/>
      <c r="H55" s="56"/>
      <c r="I55" s="60"/>
      <c r="J55" s="60"/>
      <c r="K55" s="60"/>
      <c r="L55" s="60"/>
      <c r="M55" s="61"/>
      <c r="N55" s="15"/>
      <c r="O55"/>
      <c r="P55"/>
    </row>
    <row r="56" spans="1:16" s="1" customFormat="1" ht="13.5" thickBot="1" x14ac:dyDescent="0.25">
      <c r="A56" s="55"/>
      <c r="B56" s="56"/>
      <c r="C56" s="56"/>
      <c r="D56" s="56"/>
      <c r="E56" s="57"/>
      <c r="F56" s="58"/>
      <c r="G56" s="61"/>
      <c r="H56" s="56" t="s">
        <v>68</v>
      </c>
      <c r="I56" s="60"/>
      <c r="J56" s="60"/>
      <c r="K56" s="60"/>
      <c r="L56" s="66">
        <f>L54*19%</f>
        <v>10450</v>
      </c>
      <c r="M56" s="61"/>
      <c r="N56" s="15"/>
      <c r="O56"/>
      <c r="P56"/>
    </row>
    <row r="57" spans="1:16" s="1" customFormat="1" ht="13.5" thickTop="1" x14ac:dyDescent="0.2">
      <c r="A57" s="55"/>
      <c r="B57" s="56"/>
      <c r="C57" s="56"/>
      <c r="D57" s="56"/>
      <c r="E57" s="57"/>
      <c r="F57" s="61"/>
      <c r="G57" s="67"/>
      <c r="H57" s="56"/>
      <c r="I57" s="60"/>
      <c r="J57" s="60"/>
      <c r="K57" s="60"/>
      <c r="L57" s="60"/>
      <c r="M57" s="61"/>
      <c r="N57" s="15"/>
      <c r="O57"/>
      <c r="P57"/>
    </row>
    <row r="58" spans="1:16" s="1" customFormat="1" ht="13.5" thickBot="1" x14ac:dyDescent="0.25">
      <c r="A58" s="55"/>
      <c r="B58" s="56"/>
      <c r="C58" s="56"/>
      <c r="D58" s="56"/>
      <c r="E58" s="57"/>
      <c r="F58" s="61"/>
      <c r="G58" s="67"/>
      <c r="H58" s="56" t="s">
        <v>21</v>
      </c>
      <c r="I58" s="60"/>
      <c r="J58" s="60"/>
      <c r="K58" s="60"/>
      <c r="L58" s="66">
        <f>L54-L56</f>
        <v>44550</v>
      </c>
      <c r="M58" s="61"/>
      <c r="N58" s="15"/>
      <c r="O58"/>
      <c r="P58"/>
    </row>
    <row r="59" spans="1:16" s="1" customFormat="1" ht="13.5" thickTop="1" x14ac:dyDescent="0.2">
      <c r="A59" s="68"/>
      <c r="B59" s="69"/>
      <c r="C59" s="69"/>
      <c r="D59" s="69"/>
      <c r="E59" s="70"/>
      <c r="F59" s="71"/>
      <c r="G59" s="72"/>
      <c r="H59" s="69"/>
      <c r="I59" s="73"/>
      <c r="J59" s="73"/>
      <c r="K59" s="73"/>
      <c r="L59" s="73"/>
      <c r="M59" s="74"/>
      <c r="N59" s="15"/>
      <c r="O59"/>
      <c r="P59"/>
    </row>
    <row r="60" spans="1:16" s="1" customFormat="1" x14ac:dyDescent="0.2">
      <c r="A60" s="75"/>
      <c r="B60" s="76"/>
      <c r="C60" s="76"/>
      <c r="D60" s="76"/>
      <c r="E60" s="77"/>
      <c r="F60" s="78"/>
      <c r="G60" s="79"/>
      <c r="H60" s="76"/>
      <c r="I60" s="80"/>
      <c r="J60" s="80"/>
      <c r="K60" s="80"/>
      <c r="L60" s="80"/>
      <c r="M60" s="78"/>
      <c r="N60" s="15"/>
      <c r="O60"/>
      <c r="P60"/>
    </row>
    <row r="61" spans="1:16" s="1" customFormat="1" x14ac:dyDescent="0.2">
      <c r="A61" s="75" t="s">
        <v>22</v>
      </c>
      <c r="B61" s="76"/>
      <c r="C61" s="76"/>
      <c r="D61" s="76"/>
      <c r="E61" s="77">
        <v>0</v>
      </c>
      <c r="F61" s="78"/>
      <c r="G61" s="79"/>
      <c r="H61" s="76" t="s">
        <v>54</v>
      </c>
      <c r="I61" s="80"/>
      <c r="J61" s="80"/>
      <c r="K61" s="116">
        <v>0.31</v>
      </c>
      <c r="L61" s="81">
        <f>L58*31%</f>
        <v>13810.5</v>
      </c>
      <c r="M61" s="78"/>
      <c r="N61" s="15"/>
      <c r="O61"/>
      <c r="P61"/>
    </row>
    <row r="62" spans="1:16" s="1" customFormat="1" x14ac:dyDescent="0.2">
      <c r="A62" s="75"/>
      <c r="B62" s="76"/>
      <c r="C62" s="76"/>
      <c r="D62" s="76"/>
      <c r="E62" s="77"/>
      <c r="F62" s="78"/>
      <c r="G62" s="79"/>
      <c r="H62" s="124" t="s">
        <v>83</v>
      </c>
      <c r="I62" s="80"/>
      <c r="J62" s="80"/>
      <c r="K62" s="80"/>
      <c r="L62" s="80"/>
      <c r="M62" s="78"/>
      <c r="N62" s="15"/>
      <c r="O62"/>
      <c r="P62"/>
    </row>
    <row r="63" spans="1:16" s="1" customFormat="1" x14ac:dyDescent="0.2">
      <c r="A63" s="75"/>
      <c r="B63" s="76"/>
      <c r="C63" s="76"/>
      <c r="D63" s="76"/>
      <c r="E63" s="77"/>
      <c r="F63" s="78"/>
      <c r="G63" s="79"/>
      <c r="H63" s="76"/>
      <c r="I63" s="80"/>
      <c r="J63" s="80"/>
      <c r="K63" s="80"/>
      <c r="L63" s="80"/>
      <c r="M63" s="78"/>
      <c r="N63" s="15"/>
      <c r="O63"/>
      <c r="P63"/>
    </row>
    <row r="64" spans="1:16" s="1" customFormat="1" x14ac:dyDescent="0.2">
      <c r="A64" s="82"/>
      <c r="B64" s="83"/>
      <c r="C64" s="83"/>
      <c r="D64" s="83"/>
      <c r="E64" s="84"/>
      <c r="F64" s="85"/>
      <c r="G64" s="86"/>
      <c r="H64" s="83"/>
      <c r="I64" s="87"/>
      <c r="J64" s="87"/>
      <c r="K64" s="87"/>
      <c r="L64" s="87"/>
      <c r="M64" s="88"/>
      <c r="N64" s="15"/>
      <c r="O64"/>
      <c r="P64"/>
    </row>
    <row r="65" spans="1:16" s="1" customFormat="1" x14ac:dyDescent="0.2">
      <c r="A65" s="89"/>
      <c r="B65" s="90"/>
      <c r="C65" s="90"/>
      <c r="D65" s="90"/>
      <c r="E65" s="91"/>
      <c r="F65" s="92"/>
      <c r="G65" s="93"/>
      <c r="H65" s="90"/>
      <c r="I65" s="94"/>
      <c r="J65" s="94"/>
      <c r="K65" s="94"/>
      <c r="L65" s="94"/>
      <c r="M65" s="92"/>
      <c r="N65" s="15"/>
      <c r="O65"/>
      <c r="P65"/>
    </row>
    <row r="66" spans="1:16" s="1" customFormat="1" x14ac:dyDescent="0.2">
      <c r="A66" s="89" t="s">
        <v>24</v>
      </c>
      <c r="B66" s="90"/>
      <c r="C66" s="90"/>
      <c r="D66" s="90"/>
      <c r="E66" s="91">
        <f>E41+E45+E61</f>
        <v>37150.736663299998</v>
      </c>
      <c r="F66" s="92"/>
      <c r="G66" s="93"/>
      <c r="H66" s="90" t="s">
        <v>24</v>
      </c>
      <c r="I66" s="94"/>
      <c r="J66" s="94"/>
      <c r="K66" s="94"/>
      <c r="L66" s="92">
        <f>L41+L45+L61+L56</f>
        <v>41981.579089999999</v>
      </c>
      <c r="M66" s="92"/>
      <c r="N66" s="15"/>
      <c r="O66"/>
      <c r="P66"/>
    </row>
    <row r="67" spans="1:16" s="1" customFormat="1" x14ac:dyDescent="0.2">
      <c r="A67" s="95"/>
      <c r="B67" s="96"/>
      <c r="C67" s="96"/>
      <c r="D67" s="96"/>
      <c r="E67" s="97"/>
      <c r="F67" s="98"/>
      <c r="G67" s="99"/>
      <c r="H67" s="96"/>
      <c r="I67" s="100"/>
      <c r="J67" s="100"/>
      <c r="K67" s="100"/>
      <c r="L67" s="100"/>
      <c r="M67" s="101"/>
      <c r="N67" s="15"/>
      <c r="O67"/>
      <c r="P67"/>
    </row>
    <row r="68" spans="1:16" s="1" customFormat="1" x14ac:dyDescent="0.2">
      <c r="A68" s="102"/>
      <c r="B68" s="103"/>
      <c r="C68" s="103"/>
      <c r="D68" s="103"/>
      <c r="E68" s="104"/>
      <c r="F68" s="105"/>
      <c r="G68" s="105"/>
      <c r="H68" s="103"/>
      <c r="I68" s="106"/>
      <c r="J68" s="106"/>
      <c r="K68" s="106"/>
      <c r="L68" s="107"/>
      <c r="M68" s="108"/>
      <c r="N68"/>
      <c r="O68"/>
      <c r="P68"/>
    </row>
    <row r="69" spans="1:16" x14ac:dyDescent="0.2">
      <c r="A69" s="109" t="s">
        <v>57</v>
      </c>
      <c r="B69" s="110"/>
      <c r="C69" s="110"/>
      <c r="D69" s="110"/>
      <c r="E69" s="110"/>
      <c r="F69" s="110"/>
      <c r="G69" s="110"/>
      <c r="H69" s="110"/>
      <c r="I69" s="110"/>
      <c r="J69" s="110"/>
      <c r="K69" s="110"/>
      <c r="L69" s="110"/>
      <c r="M69" s="111"/>
    </row>
    <row r="70" spans="1:16" x14ac:dyDescent="0.2">
      <c r="A70" s="112"/>
      <c r="B70" s="110"/>
      <c r="C70" s="110"/>
      <c r="D70" s="110"/>
      <c r="E70" s="110"/>
      <c r="F70" s="110"/>
      <c r="G70" s="110"/>
      <c r="H70" s="110"/>
      <c r="I70" s="110"/>
      <c r="J70" s="110"/>
      <c r="K70" s="110"/>
      <c r="L70" s="110"/>
      <c r="M70" s="111"/>
    </row>
    <row r="71" spans="1:16" x14ac:dyDescent="0.2">
      <c r="A71" s="109" t="s">
        <v>95</v>
      </c>
      <c r="B71" s="110"/>
      <c r="C71" s="110"/>
      <c r="D71" s="110"/>
      <c r="E71" s="110"/>
      <c r="F71" s="110"/>
      <c r="G71" s="110"/>
      <c r="H71" s="110"/>
      <c r="I71" s="110"/>
      <c r="J71" s="110"/>
      <c r="K71" s="110"/>
      <c r="L71" s="110"/>
      <c r="M71" s="111"/>
    </row>
    <row r="72" spans="1:16" x14ac:dyDescent="0.2">
      <c r="A72" s="109" t="s">
        <v>96</v>
      </c>
      <c r="B72" s="110"/>
      <c r="C72" s="110"/>
      <c r="D72" s="110"/>
      <c r="E72" s="110"/>
      <c r="F72" s="110"/>
      <c r="G72" s="110"/>
      <c r="H72" s="110"/>
      <c r="I72" s="110"/>
      <c r="J72" s="110"/>
      <c r="K72" s="110"/>
      <c r="L72" s="110"/>
      <c r="M72" s="111"/>
    </row>
    <row r="73" spans="1:16" x14ac:dyDescent="0.2">
      <c r="A73" s="112"/>
      <c r="B73" s="110"/>
      <c r="C73" s="110"/>
      <c r="D73" s="110"/>
      <c r="E73" s="110"/>
      <c r="F73" s="110"/>
      <c r="G73" s="110"/>
      <c r="H73" s="110"/>
      <c r="I73" s="110"/>
      <c r="J73" s="110"/>
      <c r="K73" s="110"/>
      <c r="L73" s="110"/>
      <c r="M73" s="111"/>
    </row>
    <row r="74" spans="1:16" x14ac:dyDescent="0.2">
      <c r="A74" s="109" t="s">
        <v>97</v>
      </c>
      <c r="B74" s="110"/>
      <c r="C74" s="110"/>
      <c r="D74" s="110"/>
      <c r="E74" s="110"/>
      <c r="F74" s="110"/>
      <c r="G74" s="110"/>
      <c r="H74" s="110"/>
      <c r="I74" s="110"/>
      <c r="J74" s="110"/>
      <c r="K74" s="110"/>
      <c r="L74" s="110"/>
      <c r="M74" s="111"/>
    </row>
    <row r="75" spans="1:16" x14ac:dyDescent="0.2">
      <c r="A75" s="112" t="s">
        <v>30</v>
      </c>
      <c r="B75" s="110"/>
      <c r="C75" s="110"/>
      <c r="D75" s="110"/>
      <c r="E75" s="110"/>
      <c r="F75" s="110"/>
      <c r="G75" s="110"/>
      <c r="H75" s="110"/>
      <c r="I75" s="110"/>
      <c r="J75" s="110"/>
      <c r="K75" s="110"/>
      <c r="L75" s="110"/>
      <c r="M75" s="111"/>
    </row>
    <row r="76" spans="1:16" x14ac:dyDescent="0.2">
      <c r="A76" s="112"/>
      <c r="B76" s="110"/>
      <c r="C76" s="110"/>
      <c r="D76" s="110"/>
      <c r="E76" s="110"/>
      <c r="F76" s="110"/>
      <c r="G76" s="110"/>
      <c r="H76" s="110"/>
      <c r="I76" s="110"/>
      <c r="J76" s="110"/>
      <c r="K76" s="110"/>
      <c r="L76" s="110"/>
      <c r="M76" s="111"/>
    </row>
    <row r="77" spans="1:16" x14ac:dyDescent="0.2">
      <c r="A77" s="109" t="s">
        <v>69</v>
      </c>
      <c r="B77" s="110"/>
      <c r="C77" s="110"/>
      <c r="D77" s="110"/>
      <c r="E77" s="110"/>
      <c r="F77" s="110"/>
      <c r="G77" s="110"/>
      <c r="H77" s="110"/>
      <c r="I77" s="110"/>
      <c r="J77" s="110"/>
      <c r="K77" s="110"/>
      <c r="L77" s="110"/>
      <c r="M77" s="111"/>
    </row>
    <row r="78" spans="1:16" x14ac:dyDescent="0.2">
      <c r="A78" s="112"/>
      <c r="B78" s="110"/>
      <c r="C78" s="110"/>
      <c r="D78" s="110"/>
      <c r="E78" s="110"/>
      <c r="F78" s="110"/>
      <c r="G78" s="110"/>
      <c r="H78" s="110"/>
      <c r="I78" s="110"/>
      <c r="J78" s="110"/>
      <c r="K78" s="110"/>
      <c r="L78" s="110"/>
      <c r="M78" s="111"/>
    </row>
    <row r="79" spans="1:16" x14ac:dyDescent="0.2">
      <c r="A79" s="109" t="s">
        <v>58</v>
      </c>
      <c r="B79" s="110"/>
      <c r="C79" s="110"/>
      <c r="D79" s="110"/>
      <c r="E79" s="110"/>
      <c r="F79" s="110"/>
      <c r="G79" s="110"/>
      <c r="H79" s="110"/>
      <c r="I79" s="110"/>
      <c r="J79" s="110"/>
      <c r="K79" s="110"/>
      <c r="L79" s="110"/>
      <c r="M79" s="111"/>
    </row>
    <row r="80" spans="1:16" x14ac:dyDescent="0.2">
      <c r="A80" s="112"/>
      <c r="B80" s="110"/>
      <c r="C80" s="110"/>
      <c r="D80" s="110"/>
      <c r="E80" s="110"/>
      <c r="F80" s="110"/>
      <c r="G80" s="110"/>
      <c r="H80" s="110"/>
      <c r="I80" s="110"/>
      <c r="J80" s="110"/>
      <c r="K80" s="110"/>
      <c r="L80" s="110"/>
      <c r="M80" s="111"/>
    </row>
    <row r="81" spans="1:13" x14ac:dyDescent="0.2">
      <c r="A81" s="109" t="s">
        <v>55</v>
      </c>
      <c r="B81" s="110"/>
      <c r="C81" s="110"/>
      <c r="D81" s="110"/>
      <c r="E81" s="110"/>
      <c r="F81" s="110"/>
      <c r="G81" s="110"/>
      <c r="H81" s="110"/>
      <c r="I81" s="110"/>
      <c r="J81" s="110"/>
      <c r="K81" s="110"/>
      <c r="L81" s="110"/>
      <c r="M81" s="111"/>
    </row>
    <row r="82" spans="1:13" x14ac:dyDescent="0.2">
      <c r="A82" s="112"/>
      <c r="B82" s="110"/>
      <c r="C82" s="110"/>
      <c r="D82" s="110"/>
      <c r="E82" s="110"/>
      <c r="F82" s="110"/>
      <c r="G82" s="110"/>
      <c r="H82" s="110"/>
      <c r="I82" s="110"/>
      <c r="J82" s="110"/>
      <c r="K82" s="110"/>
      <c r="L82" s="110"/>
      <c r="M82" s="111"/>
    </row>
    <row r="83" spans="1:13" x14ac:dyDescent="0.2">
      <c r="A83" s="109" t="s">
        <v>99</v>
      </c>
      <c r="B83" s="110"/>
      <c r="C83" s="110"/>
      <c r="D83" s="110"/>
      <c r="E83" s="110"/>
      <c r="F83" s="110"/>
      <c r="G83" s="110"/>
      <c r="H83" s="110"/>
      <c r="I83" s="110"/>
      <c r="J83" s="110"/>
      <c r="K83" s="110"/>
      <c r="L83" s="110"/>
      <c r="M83" s="111"/>
    </row>
    <row r="84" spans="1:13" x14ac:dyDescent="0.2">
      <c r="A84" s="112"/>
      <c r="B84" s="110"/>
      <c r="C84" s="110"/>
      <c r="D84" s="110"/>
      <c r="E84" s="110"/>
      <c r="F84" s="110"/>
      <c r="G84" s="110"/>
      <c r="H84" s="110"/>
      <c r="I84" s="110"/>
      <c r="J84" s="110"/>
      <c r="K84" s="110"/>
      <c r="L84" s="110"/>
      <c r="M84" s="111"/>
    </row>
    <row r="85" spans="1:13" x14ac:dyDescent="0.2">
      <c r="A85" s="109" t="s">
        <v>23</v>
      </c>
      <c r="B85" s="110"/>
      <c r="C85" s="110"/>
      <c r="D85" s="110"/>
      <c r="E85" s="110"/>
      <c r="F85" s="110"/>
      <c r="G85" s="110"/>
      <c r="H85" s="110"/>
      <c r="I85" s="110"/>
      <c r="J85" s="110"/>
      <c r="K85" s="110"/>
      <c r="L85" s="110"/>
      <c r="M85" s="111"/>
    </row>
    <row r="86" spans="1:13" x14ac:dyDescent="0.2">
      <c r="A86" s="112"/>
      <c r="B86" s="110"/>
      <c r="C86" s="110"/>
      <c r="D86" s="110"/>
      <c r="E86" s="110"/>
      <c r="F86" s="110"/>
      <c r="G86" s="110"/>
      <c r="H86" s="110"/>
      <c r="I86" s="110"/>
      <c r="J86" s="110"/>
      <c r="K86" s="110"/>
      <c r="L86" s="110"/>
      <c r="M86" s="111"/>
    </row>
    <row r="87" spans="1:13" x14ac:dyDescent="0.2">
      <c r="A87" s="109" t="s">
        <v>63</v>
      </c>
      <c r="B87" s="110"/>
      <c r="C87" s="110"/>
      <c r="D87" s="110"/>
      <c r="E87" s="110"/>
      <c r="F87" s="110"/>
      <c r="G87" s="110"/>
      <c r="H87" s="110"/>
      <c r="I87" s="110"/>
      <c r="J87" s="110"/>
      <c r="K87" s="110"/>
      <c r="L87" s="110"/>
      <c r="M87" s="111"/>
    </row>
    <row r="88" spans="1:13" x14ac:dyDescent="0.2">
      <c r="A88" s="112"/>
      <c r="B88" s="110"/>
      <c r="C88" s="110"/>
      <c r="D88" s="110"/>
      <c r="E88" s="110"/>
      <c r="F88" s="110"/>
      <c r="G88" s="110"/>
      <c r="H88" s="110"/>
      <c r="I88" s="110"/>
      <c r="J88" s="110"/>
      <c r="K88" s="110"/>
      <c r="L88" s="110"/>
      <c r="M88" s="111"/>
    </row>
    <row r="89" spans="1:13" x14ac:dyDescent="0.2">
      <c r="A89" s="109" t="s">
        <v>27</v>
      </c>
      <c r="B89" s="110"/>
      <c r="C89" s="110"/>
      <c r="D89" s="110"/>
      <c r="E89" s="110"/>
      <c r="F89" s="110"/>
      <c r="G89" s="110"/>
      <c r="H89" s="110"/>
      <c r="I89" s="110"/>
      <c r="J89" s="110"/>
      <c r="K89" s="110"/>
      <c r="L89" s="110"/>
      <c r="M89" s="111"/>
    </row>
    <row r="90" spans="1:13" x14ac:dyDescent="0.2">
      <c r="A90" s="112"/>
      <c r="B90" s="110"/>
      <c r="C90" s="110"/>
      <c r="D90" s="110"/>
      <c r="E90" s="110"/>
      <c r="F90" s="110"/>
      <c r="G90" s="110"/>
      <c r="H90" s="110"/>
      <c r="I90" s="110"/>
      <c r="J90" s="110"/>
      <c r="K90" s="110"/>
      <c r="L90" s="110"/>
      <c r="M90" s="111"/>
    </row>
    <row r="91" spans="1:13" x14ac:dyDescent="0.2">
      <c r="A91" s="109" t="s">
        <v>28</v>
      </c>
      <c r="B91" s="110"/>
      <c r="C91" s="110"/>
      <c r="D91" s="110"/>
      <c r="E91" s="110"/>
      <c r="F91" s="110"/>
      <c r="G91" s="110"/>
      <c r="H91" s="110"/>
      <c r="I91" s="110"/>
      <c r="J91" s="110"/>
      <c r="K91" s="110"/>
      <c r="L91" s="110"/>
      <c r="M91" s="111"/>
    </row>
    <row r="92" spans="1:13" x14ac:dyDescent="0.2">
      <c r="A92" s="109"/>
      <c r="B92" s="110"/>
      <c r="C92" s="110"/>
      <c r="D92" s="110"/>
      <c r="E92" s="110"/>
      <c r="F92" s="110"/>
      <c r="G92" s="110"/>
      <c r="H92" s="110"/>
      <c r="I92" s="110"/>
      <c r="J92" s="110"/>
      <c r="K92" s="110"/>
      <c r="L92" s="110"/>
      <c r="M92" s="111"/>
    </row>
    <row r="93" spans="1:13" x14ac:dyDescent="0.2">
      <c r="A93" s="109" t="s">
        <v>31</v>
      </c>
      <c r="B93" s="110"/>
      <c r="C93" s="110"/>
      <c r="D93" s="110"/>
      <c r="E93" s="110"/>
      <c r="F93" s="110"/>
      <c r="G93" s="110"/>
      <c r="H93" s="110"/>
      <c r="I93" s="110"/>
      <c r="J93" s="110"/>
      <c r="K93" s="110"/>
      <c r="L93" s="110"/>
      <c r="M93" s="111"/>
    </row>
    <row r="94" spans="1:13" x14ac:dyDescent="0.2">
      <c r="A94" s="109"/>
      <c r="B94" s="110"/>
      <c r="C94" s="110"/>
      <c r="D94" s="110"/>
      <c r="E94" s="110"/>
      <c r="F94" s="110"/>
      <c r="G94" s="110"/>
      <c r="H94" s="110"/>
      <c r="I94" s="110"/>
      <c r="J94" s="110"/>
      <c r="K94" s="110"/>
      <c r="L94" s="110"/>
      <c r="M94" s="111"/>
    </row>
    <row r="95" spans="1:13" x14ac:dyDescent="0.2">
      <c r="A95" s="109" t="s">
        <v>29</v>
      </c>
      <c r="B95" s="110"/>
      <c r="C95" s="110"/>
      <c r="D95" s="110"/>
      <c r="E95" s="110"/>
      <c r="F95" s="110"/>
      <c r="G95" s="110"/>
      <c r="H95" s="110"/>
      <c r="I95" s="110"/>
      <c r="J95" s="110"/>
      <c r="K95" s="110"/>
      <c r="L95" s="110"/>
      <c r="M95" s="111"/>
    </row>
    <row r="96" spans="1:13" x14ac:dyDescent="0.2">
      <c r="A96" s="113"/>
      <c r="B96" s="114"/>
      <c r="C96" s="114"/>
      <c r="D96" s="114"/>
      <c r="E96" s="114"/>
      <c r="F96" s="114"/>
      <c r="G96" s="114"/>
      <c r="H96" s="114"/>
      <c r="I96" s="114"/>
      <c r="J96" s="114"/>
      <c r="K96" s="114"/>
      <c r="L96" s="114"/>
      <c r="M96" s="115"/>
    </row>
  </sheetData>
  <sheetProtection sheet="1" objects="1" scenarios="1"/>
  <mergeCells count="4">
    <mergeCell ref="A1:M1"/>
    <mergeCell ref="A2:M7"/>
    <mergeCell ref="A9:F9"/>
    <mergeCell ref="H9:L9"/>
  </mergeCells>
  <dataValidations count="1">
    <dataValidation type="list" allowBlank="1" showInputMessage="1" showErrorMessage="1" sqref="D14:D15" xr:uid="{EF7C76C6-6D17-41BD-9E59-13212EBB7DB8}">
      <formula1>$O$1:$O$7</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EFEB-DD8F-426C-B4C2-2EEB8F53DBBF}">
  <dimension ref="A1:G40"/>
  <sheetViews>
    <sheetView zoomScaleNormal="100" workbookViewId="0">
      <selection activeCell="E25" sqref="E22:E25"/>
    </sheetView>
  </sheetViews>
  <sheetFormatPr defaultRowHeight="12.75" x14ac:dyDescent="0.2"/>
  <cols>
    <col min="1" max="1" width="26.140625" customWidth="1"/>
    <col min="2" max="3" width="9.140625" style="2"/>
    <col min="4" max="4" width="13.28515625" style="2" customWidth="1"/>
    <col min="5" max="7" width="9.140625" style="2"/>
  </cols>
  <sheetData>
    <row r="1" spans="1:5" x14ac:dyDescent="0.2">
      <c r="A1" s="1" t="s">
        <v>35</v>
      </c>
    </row>
    <row r="2" spans="1:5" x14ac:dyDescent="0.2">
      <c r="A2" s="1"/>
    </row>
    <row r="3" spans="1:5" x14ac:dyDescent="0.2">
      <c r="B3" s="4" t="s">
        <v>32</v>
      </c>
      <c r="C3" s="4" t="s">
        <v>33</v>
      </c>
      <c r="D3" s="4" t="s">
        <v>38</v>
      </c>
      <c r="E3" s="4" t="s">
        <v>39</v>
      </c>
    </row>
    <row r="4" spans="1:5" x14ac:dyDescent="0.2">
      <c r="A4" s="3" t="s">
        <v>90</v>
      </c>
      <c r="B4" s="2">
        <v>0</v>
      </c>
      <c r="C4" s="2">
        <v>28406</v>
      </c>
      <c r="D4" s="2">
        <f>IF('Jaar 2025'!E26&lt;28406,+'Jaar 2025'!E26,28406)</f>
        <v>28406</v>
      </c>
      <c r="E4" s="2">
        <f>IF('Jaar 2025'!E26&gt;75518,0,3362)</f>
        <v>0</v>
      </c>
    </row>
    <row r="5" spans="1:5" x14ac:dyDescent="0.2">
      <c r="A5" s="3" t="s">
        <v>91</v>
      </c>
      <c r="B5" s="2">
        <v>28406</v>
      </c>
      <c r="C5" s="2">
        <v>76817</v>
      </c>
      <c r="D5" s="2">
        <f>IF('Jaar 2025'!E26&lt;75518,'Jaar 2025'!E26-D4,0)</f>
        <v>0</v>
      </c>
      <c r="E5" s="2">
        <f>IF(D5&gt;0,D5*-6.63%,0)</f>
        <v>0</v>
      </c>
    </row>
    <row r="6" spans="1:5" x14ac:dyDescent="0.2">
      <c r="A6" s="3" t="s">
        <v>34</v>
      </c>
      <c r="B6" s="2">
        <v>76817</v>
      </c>
      <c r="D6" s="2">
        <f>IF('Jaar 2025'!E26&gt;75518,0,0)</f>
        <v>0</v>
      </c>
      <c r="E6" s="2">
        <v>0</v>
      </c>
    </row>
    <row r="8" spans="1:5" ht="13.5" thickBot="1" x14ac:dyDescent="0.25">
      <c r="E8" s="5">
        <f>SUM(E4:E7)</f>
        <v>0</v>
      </c>
    </row>
    <row r="9" spans="1:5" ht="13.5" thickTop="1" x14ac:dyDescent="0.2"/>
    <row r="10" spans="1:5" x14ac:dyDescent="0.2">
      <c r="A10" s="1" t="s">
        <v>36</v>
      </c>
    </row>
    <row r="11" spans="1:5" x14ac:dyDescent="0.2">
      <c r="A11" s="1"/>
    </row>
    <row r="12" spans="1:5" x14ac:dyDescent="0.2">
      <c r="B12" s="4" t="s">
        <v>32</v>
      </c>
      <c r="C12" s="4" t="s">
        <v>33</v>
      </c>
      <c r="D12" s="4" t="s">
        <v>38</v>
      </c>
      <c r="E12" s="4" t="s">
        <v>39</v>
      </c>
    </row>
    <row r="13" spans="1:5" x14ac:dyDescent="0.2">
      <c r="A13" s="3" t="s">
        <v>90</v>
      </c>
      <c r="B13" s="2">
        <v>0</v>
      </c>
      <c r="C13" s="2">
        <v>28406</v>
      </c>
      <c r="D13" s="2">
        <f>IF('Jaar 2025'!L26&lt;28406,+'Jaar 2025'!L26,28406)</f>
        <v>28406</v>
      </c>
      <c r="E13" s="2">
        <f>IF('Jaar 2025'!L26&gt;75518,0,3362)</f>
        <v>3362</v>
      </c>
    </row>
    <row r="14" spans="1:5" x14ac:dyDescent="0.2">
      <c r="A14" s="3" t="s">
        <v>91</v>
      </c>
      <c r="B14" s="2">
        <v>28406</v>
      </c>
      <c r="C14" s="2">
        <v>76817</v>
      </c>
      <c r="D14" s="2">
        <f>IF('Jaar 2025'!L26&lt;75518,'Jaar 2025'!L26-D13,0)</f>
        <v>24144</v>
      </c>
      <c r="E14" s="2">
        <f>IF(D14&gt;0,D14*-6.63%,0)</f>
        <v>-1600.7472</v>
      </c>
    </row>
    <row r="15" spans="1:5" x14ac:dyDescent="0.2">
      <c r="A15" s="3" t="s">
        <v>34</v>
      </c>
      <c r="B15" s="2">
        <v>76817</v>
      </c>
      <c r="D15" s="2">
        <f>IF('Jaar 2025'!L26&gt;75518,0,0)</f>
        <v>0</v>
      </c>
      <c r="E15" s="2">
        <v>0</v>
      </c>
    </row>
    <row r="17" spans="1:6" ht="13.5" thickBot="1" x14ac:dyDescent="0.25">
      <c r="E17" s="5">
        <f>SUM(E13:E16)</f>
        <v>1761.2528</v>
      </c>
    </row>
    <row r="18" spans="1:6" ht="13.5" thickTop="1" x14ac:dyDescent="0.2"/>
    <row r="19" spans="1:6" x14ac:dyDescent="0.2">
      <c r="A19" s="1" t="s">
        <v>37</v>
      </c>
    </row>
    <row r="21" spans="1:6" x14ac:dyDescent="0.2">
      <c r="B21" s="4" t="s">
        <v>32</v>
      </c>
      <c r="C21" s="4" t="s">
        <v>33</v>
      </c>
      <c r="D21" s="4" t="s">
        <v>38</v>
      </c>
      <c r="E21" s="4" t="s">
        <v>39</v>
      </c>
    </row>
    <row r="22" spans="1:6" x14ac:dyDescent="0.2">
      <c r="A22" s="6" t="s">
        <v>92</v>
      </c>
      <c r="B22" s="2">
        <v>0</v>
      </c>
      <c r="C22" s="2">
        <v>12169</v>
      </c>
      <c r="D22" s="2">
        <f>IF('Jaar 2025'!E17&lt;12169,IF('Jaar 2025'!E17&lt;0,0,+'Jaar 2025'!E17),12169)</f>
        <v>12169</v>
      </c>
      <c r="E22" s="2">
        <f>D22*8.053%</f>
        <v>979.96957000000009</v>
      </c>
    </row>
    <row r="23" spans="1:6" x14ac:dyDescent="0.2">
      <c r="A23" s="7" t="s">
        <v>93</v>
      </c>
      <c r="B23" s="2">
        <v>12169</v>
      </c>
      <c r="C23" s="2">
        <v>26288</v>
      </c>
      <c r="D23" s="2">
        <f>IF('Jaar 2025'!E17&gt;26288,26288-12169,IF('Jaar 2025'!E17&lt;12169,0,'Jaar 2025'!E17-12169))</f>
        <v>14119</v>
      </c>
      <c r="E23" s="2">
        <f>D23*30.03%</f>
        <v>4239.9357</v>
      </c>
    </row>
    <row r="24" spans="1:6" x14ac:dyDescent="0.2">
      <c r="A24" s="9" t="s">
        <v>94</v>
      </c>
      <c r="B24" s="2">
        <v>26288</v>
      </c>
      <c r="C24" s="2">
        <v>43071</v>
      </c>
      <c r="D24" s="2">
        <f>IF('Jaar 2025'!E17&gt;43071,43071-26288,IF('Jaar 2025'!E17&lt;26288,0,'Jaar 2025'!E17-26288))</f>
        <v>16783</v>
      </c>
      <c r="E24" s="2">
        <f>D24*2.258%</f>
        <v>378.96013999999997</v>
      </c>
    </row>
    <row r="25" spans="1:6" x14ac:dyDescent="0.2">
      <c r="A25" s="3" t="s">
        <v>67</v>
      </c>
      <c r="B25" s="2">
        <v>43071</v>
      </c>
      <c r="C25" s="2">
        <v>129078</v>
      </c>
      <c r="D25" s="2">
        <f>IF('Jaar 2025'!E17&gt;129079,129079-43071,IF('Jaar 2025'!E17&lt;43071,0,'Jaar 2025'!E17-43071))</f>
        <v>66409.311000000002</v>
      </c>
      <c r="E25" s="2">
        <f>D25*-6.51%</f>
        <v>-4323.2461460999994</v>
      </c>
      <c r="F25" s="8"/>
    </row>
    <row r="26" spans="1:6" x14ac:dyDescent="0.2">
      <c r="A26" s="3" t="s">
        <v>34</v>
      </c>
      <c r="B26" s="2">
        <v>129079</v>
      </c>
      <c r="D26" s="2">
        <f>IF('Jaar 2025'!E17&gt;129079,+'Jaar 2025'!E17-129079,0)</f>
        <v>0</v>
      </c>
      <c r="E26" s="2">
        <v>0</v>
      </c>
    </row>
    <row r="28" spans="1:6" ht="13.5" thickBot="1" x14ac:dyDescent="0.25">
      <c r="D28" s="5">
        <f>SUM(D22:D27)</f>
        <v>109480.311</v>
      </c>
      <c r="E28" s="5">
        <f>SUM(E22:E27)</f>
        <v>1275.619263900001</v>
      </c>
    </row>
    <row r="29" spans="1:6" ht="13.5" thickTop="1" x14ac:dyDescent="0.2"/>
    <row r="30" spans="1:6" x14ac:dyDescent="0.2">
      <c r="A30" s="1" t="s">
        <v>40</v>
      </c>
    </row>
    <row r="32" spans="1:6" x14ac:dyDescent="0.2">
      <c r="B32" s="4" t="s">
        <v>32</v>
      </c>
      <c r="C32" s="4" t="s">
        <v>33</v>
      </c>
      <c r="D32" s="4" t="s">
        <v>38</v>
      </c>
      <c r="E32" s="4" t="s">
        <v>39</v>
      </c>
    </row>
    <row r="33" spans="1:5" x14ac:dyDescent="0.2">
      <c r="A33" s="6" t="s">
        <v>92</v>
      </c>
      <c r="B33" s="2">
        <v>0</v>
      </c>
      <c r="C33" s="2">
        <v>12169</v>
      </c>
      <c r="D33" s="2">
        <f>IF('Jaar 2025'!L13&lt;12169,IF('Jaar 2025'!L13&lt;0,0,+'Jaar 2025'!L13),12169)</f>
        <v>12169</v>
      </c>
      <c r="E33" s="2">
        <f>D33*8.053%</f>
        <v>979.96957000000009</v>
      </c>
    </row>
    <row r="34" spans="1:5" x14ac:dyDescent="0.2">
      <c r="A34" s="7" t="s">
        <v>93</v>
      </c>
      <c r="B34" s="2">
        <v>12169</v>
      </c>
      <c r="C34" s="2">
        <v>26288</v>
      </c>
      <c r="D34" s="2">
        <f>IF('Jaar 2025'!L13&gt;26288,26288-12169,IF('Jaar 2025'!L13&lt;12169,0,'Jaar 2025'!L13-12169))</f>
        <v>14119</v>
      </c>
      <c r="E34" s="2">
        <f>D34*30.03%</f>
        <v>4239.9357</v>
      </c>
    </row>
    <row r="35" spans="1:5" x14ac:dyDescent="0.2">
      <c r="A35" s="9" t="s">
        <v>94</v>
      </c>
      <c r="B35" s="2">
        <v>26288</v>
      </c>
      <c r="C35" s="2">
        <v>43071</v>
      </c>
      <c r="D35" s="2">
        <f>IF('Jaar 2025'!L13&gt;43071,43071-26288,IF('Jaar 2025'!L13&lt;26288,0,'Jaar 2025'!L13-26288))</f>
        <v>16783</v>
      </c>
      <c r="E35" s="2">
        <f>D35*2.258%</f>
        <v>378.96013999999997</v>
      </c>
    </row>
    <row r="36" spans="1:5" x14ac:dyDescent="0.2">
      <c r="A36" s="3" t="s">
        <v>67</v>
      </c>
      <c r="B36" s="2">
        <v>43071</v>
      </c>
      <c r="C36" s="2">
        <v>129078</v>
      </c>
      <c r="D36" s="2">
        <f>IF('Jaar 2025'!L13&gt;129079,129079-43071,IF('Jaar 2025'!L13&lt;43071,0,'Jaar 2025'!L13-43071))</f>
        <v>31929</v>
      </c>
      <c r="E36" s="2">
        <f>D36*-6.51%</f>
        <v>-2078.5778999999998</v>
      </c>
    </row>
    <row r="37" spans="1:5" x14ac:dyDescent="0.2">
      <c r="A37" s="3" t="s">
        <v>34</v>
      </c>
      <c r="B37" s="2">
        <v>129079</v>
      </c>
      <c r="D37" s="2">
        <f>IF('Jaar 2025'!L13&gt;129079,+'Jaar 2025'!L13-129079,0)</f>
        <v>0</v>
      </c>
      <c r="E37" s="2">
        <v>0</v>
      </c>
    </row>
    <row r="39" spans="1:5" ht="13.5" thickBot="1" x14ac:dyDescent="0.25">
      <c r="D39" s="5">
        <f>SUM(D33:D38)</f>
        <v>75000</v>
      </c>
      <c r="E39" s="5">
        <f>SUM(E33:E38)</f>
        <v>3520.2875100000006</v>
      </c>
    </row>
    <row r="40" spans="1:5" ht="13.5" thickTop="1" x14ac:dyDescent="0.2"/>
  </sheetData>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1040-9589-48A5-924A-CE9FA66123DC}">
  <dimension ref="A1:P95"/>
  <sheetViews>
    <sheetView workbookViewId="0">
      <selection activeCell="E13" sqref="E13"/>
    </sheetView>
  </sheetViews>
  <sheetFormatPr defaultColWidth="9.140625" defaultRowHeight="12.75" x14ac:dyDescent="0.2"/>
  <cols>
    <col min="1" max="1" width="29.140625" customWidth="1"/>
    <col min="5" max="5" width="10.7109375" bestFit="1" customWidth="1"/>
    <col min="6" max="7" width="3.7109375" customWidth="1"/>
    <col min="8" max="8" width="29.140625" customWidth="1"/>
    <col min="12" max="12" width="10.7109375" customWidth="1"/>
    <col min="13" max="13" width="22" customWidth="1"/>
    <col min="15" max="15" width="9.140625" hidden="1" customWidth="1"/>
    <col min="17" max="17" width="9.5703125" customWidth="1"/>
  </cols>
  <sheetData>
    <row r="1" spans="1:15" x14ac:dyDescent="0.2">
      <c r="A1" s="125" t="s">
        <v>74</v>
      </c>
      <c r="B1" s="126"/>
      <c r="C1" s="126"/>
      <c r="D1" s="126"/>
      <c r="E1" s="126"/>
      <c r="F1" s="126"/>
      <c r="G1" s="126"/>
      <c r="H1" s="126"/>
      <c r="I1" s="126"/>
      <c r="J1" s="126"/>
      <c r="K1" s="126"/>
      <c r="L1" s="126"/>
      <c r="M1" s="127"/>
      <c r="O1" t="s">
        <v>43</v>
      </c>
    </row>
    <row r="2" spans="1:15" x14ac:dyDescent="0.2">
      <c r="A2" s="128" t="s">
        <v>61</v>
      </c>
      <c r="B2" s="129"/>
      <c r="C2" s="129"/>
      <c r="D2" s="129"/>
      <c r="E2" s="129"/>
      <c r="F2" s="129"/>
      <c r="G2" s="129"/>
      <c r="H2" s="129"/>
      <c r="I2" s="129"/>
      <c r="J2" s="129"/>
      <c r="K2" s="129"/>
      <c r="L2" s="129"/>
      <c r="M2" s="130"/>
      <c r="O2" t="s">
        <v>44</v>
      </c>
    </row>
    <row r="3" spans="1:15" x14ac:dyDescent="0.2">
      <c r="A3" s="131"/>
      <c r="B3" s="132"/>
      <c r="C3" s="132"/>
      <c r="D3" s="132"/>
      <c r="E3" s="132"/>
      <c r="F3" s="132"/>
      <c r="G3" s="132"/>
      <c r="H3" s="132"/>
      <c r="I3" s="132"/>
      <c r="J3" s="132"/>
      <c r="K3" s="132"/>
      <c r="L3" s="132"/>
      <c r="M3" s="133"/>
    </row>
    <row r="4" spans="1:15" x14ac:dyDescent="0.2">
      <c r="A4" s="131"/>
      <c r="B4" s="132"/>
      <c r="C4" s="132"/>
      <c r="D4" s="132"/>
      <c r="E4" s="132"/>
      <c r="F4" s="132"/>
      <c r="G4" s="132"/>
      <c r="H4" s="132"/>
      <c r="I4" s="132"/>
      <c r="J4" s="132"/>
      <c r="K4" s="132"/>
      <c r="L4" s="132"/>
      <c r="M4" s="133"/>
    </row>
    <row r="5" spans="1:15" x14ac:dyDescent="0.2">
      <c r="A5" s="131"/>
      <c r="B5" s="132"/>
      <c r="C5" s="132"/>
      <c r="D5" s="132"/>
      <c r="E5" s="132"/>
      <c r="F5" s="132"/>
      <c r="G5" s="132"/>
      <c r="H5" s="132"/>
      <c r="I5" s="132"/>
      <c r="J5" s="132"/>
      <c r="K5" s="132"/>
      <c r="L5" s="132"/>
      <c r="M5" s="133"/>
    </row>
    <row r="6" spans="1:15" x14ac:dyDescent="0.2">
      <c r="A6" s="131"/>
      <c r="B6" s="132"/>
      <c r="C6" s="132"/>
      <c r="D6" s="132"/>
      <c r="E6" s="132"/>
      <c r="F6" s="132"/>
      <c r="G6" s="132"/>
      <c r="H6" s="132"/>
      <c r="I6" s="132"/>
      <c r="J6" s="132"/>
      <c r="K6" s="132"/>
      <c r="L6" s="132"/>
      <c r="M6" s="133"/>
    </row>
    <row r="7" spans="1:15" x14ac:dyDescent="0.2">
      <c r="A7" s="134"/>
      <c r="B7" s="135"/>
      <c r="C7" s="135"/>
      <c r="D7" s="135"/>
      <c r="E7" s="135"/>
      <c r="F7" s="135"/>
      <c r="G7" s="135"/>
      <c r="H7" s="135"/>
      <c r="I7" s="135"/>
      <c r="J7" s="135"/>
      <c r="K7" s="135"/>
      <c r="L7" s="135"/>
      <c r="M7" s="136"/>
    </row>
    <row r="8" spans="1:15" x14ac:dyDescent="0.2">
      <c r="A8" s="10"/>
      <c r="B8" s="11"/>
      <c r="C8" s="11"/>
      <c r="D8" s="11"/>
      <c r="E8" s="12"/>
      <c r="F8" s="13"/>
      <c r="G8" s="14"/>
      <c r="H8" s="11"/>
      <c r="I8" s="11"/>
      <c r="J8" s="11"/>
      <c r="K8" s="11"/>
      <c r="L8" s="11"/>
      <c r="M8" s="13"/>
      <c r="N8" s="15"/>
    </row>
    <row r="9" spans="1:15" x14ac:dyDescent="0.2">
      <c r="A9" s="137" t="s">
        <v>59</v>
      </c>
      <c r="B9" s="138"/>
      <c r="C9" s="138"/>
      <c r="D9" s="138"/>
      <c r="E9" s="138"/>
      <c r="F9" s="139"/>
      <c r="G9" s="16"/>
      <c r="H9" s="138" t="s">
        <v>14</v>
      </c>
      <c r="I9" s="138"/>
      <c r="J9" s="138"/>
      <c r="K9" s="138"/>
      <c r="L9" s="138"/>
      <c r="M9" s="123"/>
      <c r="N9" s="15"/>
    </row>
    <row r="10" spans="1:15" x14ac:dyDescent="0.2">
      <c r="A10" s="17"/>
      <c r="B10" s="18"/>
      <c r="C10" s="18"/>
      <c r="D10" s="18"/>
      <c r="E10" s="19"/>
      <c r="F10" s="20"/>
      <c r="G10" s="21"/>
      <c r="H10" s="18"/>
      <c r="I10" s="18"/>
      <c r="J10" s="18"/>
      <c r="K10" s="18"/>
      <c r="L10" s="18"/>
      <c r="M10" s="20"/>
      <c r="N10" s="15"/>
    </row>
    <row r="11" spans="1:15" x14ac:dyDescent="0.2">
      <c r="A11" s="121" t="s">
        <v>62</v>
      </c>
      <c r="B11" s="23"/>
      <c r="C11" s="23"/>
      <c r="D11" s="23"/>
      <c r="E11" s="24"/>
      <c r="F11" s="25"/>
      <c r="G11" s="26"/>
      <c r="H11" s="122" t="s">
        <v>62</v>
      </c>
      <c r="I11" s="23"/>
      <c r="J11" s="23"/>
      <c r="K11" s="23"/>
      <c r="L11" s="23"/>
      <c r="M11" s="24"/>
      <c r="N11" s="15"/>
    </row>
    <row r="12" spans="1:15" s="1" customFormat="1" x14ac:dyDescent="0.2">
      <c r="A12" s="27" t="s">
        <v>0</v>
      </c>
      <c r="B12" s="28"/>
      <c r="C12" s="28"/>
      <c r="D12" s="28"/>
      <c r="E12" s="29"/>
      <c r="F12" s="30"/>
      <c r="G12" s="31"/>
      <c r="H12" s="28" t="s">
        <v>16</v>
      </c>
      <c r="I12" s="28"/>
      <c r="J12" s="28"/>
      <c r="K12" s="28"/>
      <c r="L12" s="29"/>
      <c r="M12" s="29"/>
      <c r="N12" s="32"/>
    </row>
    <row r="13" spans="1:15" x14ac:dyDescent="0.2">
      <c r="A13" s="33" t="s">
        <v>46</v>
      </c>
      <c r="B13" s="23"/>
      <c r="C13" s="23"/>
      <c r="D13" s="23"/>
      <c r="E13" s="117">
        <v>130000</v>
      </c>
      <c r="F13" s="25"/>
      <c r="G13" s="26"/>
      <c r="H13" s="34" t="s">
        <v>65</v>
      </c>
      <c r="I13" s="23"/>
      <c r="J13" s="23"/>
      <c r="K13" s="23"/>
      <c r="L13" s="119">
        <v>75000</v>
      </c>
      <c r="M13" s="24"/>
      <c r="N13" s="15"/>
    </row>
    <row r="14" spans="1:15" x14ac:dyDescent="0.2">
      <c r="A14" s="22" t="s">
        <v>1</v>
      </c>
      <c r="B14" s="23"/>
      <c r="C14" s="23"/>
      <c r="D14" s="118" t="s">
        <v>47</v>
      </c>
      <c r="E14" s="24">
        <f>IF(D14="Ja",-3750,0)</f>
        <v>-3750</v>
      </c>
      <c r="F14" s="25"/>
      <c r="G14" s="26"/>
      <c r="H14" s="34"/>
      <c r="I14" s="23"/>
      <c r="J14" s="23"/>
      <c r="K14" s="23"/>
      <c r="L14" s="35"/>
      <c r="M14" s="24"/>
      <c r="N14" s="15"/>
    </row>
    <row r="15" spans="1:15" x14ac:dyDescent="0.2">
      <c r="A15" s="22" t="s">
        <v>42</v>
      </c>
      <c r="B15" s="23"/>
      <c r="C15" s="23"/>
      <c r="D15" s="118" t="s">
        <v>47</v>
      </c>
      <c r="E15" s="24">
        <f>IF(AND(D14="ja",D15="Ja"),-2123,0)</f>
        <v>-2123</v>
      </c>
      <c r="F15" s="25"/>
      <c r="G15" s="26"/>
      <c r="H15" s="28" t="s">
        <v>18</v>
      </c>
      <c r="I15" s="23"/>
      <c r="J15" s="23"/>
      <c r="K15" s="23"/>
      <c r="L15" s="35"/>
      <c r="M15" s="24"/>
      <c r="N15" s="15"/>
    </row>
    <row r="16" spans="1:15" x14ac:dyDescent="0.2">
      <c r="A16" s="33" t="s">
        <v>70</v>
      </c>
      <c r="B16" s="23"/>
      <c r="C16" s="36"/>
      <c r="D16" s="23"/>
      <c r="E16" s="37">
        <f>-(E13+E14+E15)*13.31%</f>
        <v>-16521.3037</v>
      </c>
      <c r="F16" s="25"/>
      <c r="G16" s="26"/>
      <c r="H16" s="34" t="s">
        <v>19</v>
      </c>
      <c r="I16" s="23"/>
      <c r="J16" s="36"/>
      <c r="K16" s="23"/>
      <c r="L16" s="24">
        <v>0</v>
      </c>
      <c r="M16" s="24"/>
      <c r="N16" s="15"/>
    </row>
    <row r="17" spans="1:16" x14ac:dyDescent="0.2">
      <c r="A17" s="22" t="s">
        <v>50</v>
      </c>
      <c r="B17" s="23"/>
      <c r="C17" s="23"/>
      <c r="D17" s="23"/>
      <c r="E17" s="24">
        <f>SUM(E13:E16)</f>
        <v>107605.6963</v>
      </c>
      <c r="F17" s="25"/>
      <c r="G17" s="26"/>
      <c r="H17" s="23" t="s">
        <v>10</v>
      </c>
      <c r="I17" s="23"/>
      <c r="J17" s="23"/>
      <c r="K17" s="23"/>
      <c r="L17" s="24"/>
      <c r="M17" s="24"/>
      <c r="N17" s="32"/>
      <c r="O17" s="1"/>
      <c r="P17" s="1"/>
    </row>
    <row r="18" spans="1:16" x14ac:dyDescent="0.2">
      <c r="A18" s="22"/>
      <c r="B18" s="23"/>
      <c r="C18" s="23"/>
      <c r="D18" s="23"/>
      <c r="E18" s="24"/>
      <c r="F18" s="25"/>
      <c r="G18" s="26"/>
      <c r="H18" s="23"/>
      <c r="I18" s="23"/>
      <c r="J18" s="23"/>
      <c r="K18" s="23"/>
      <c r="L18" s="24"/>
      <c r="M18" s="24"/>
      <c r="N18" s="32"/>
      <c r="O18" s="1"/>
      <c r="P18" s="1"/>
    </row>
    <row r="19" spans="1:16" s="1" customFormat="1" x14ac:dyDescent="0.2">
      <c r="A19" s="27" t="s">
        <v>2</v>
      </c>
      <c r="B19" s="28"/>
      <c r="C19" s="28"/>
      <c r="D19" s="28"/>
      <c r="E19" s="29"/>
      <c r="F19" s="30"/>
      <c r="G19" s="31"/>
      <c r="H19" s="28" t="s">
        <v>2</v>
      </c>
      <c r="I19" s="28"/>
      <c r="J19" s="28"/>
      <c r="K19" s="28"/>
      <c r="L19" s="29"/>
      <c r="M19" s="29"/>
      <c r="N19" s="15"/>
      <c r="O19"/>
      <c r="P19"/>
    </row>
    <row r="20" spans="1:16" x14ac:dyDescent="0.2">
      <c r="A20" s="33" t="s">
        <v>64</v>
      </c>
      <c r="B20" s="23"/>
      <c r="C20" s="38" t="s">
        <v>48</v>
      </c>
      <c r="D20" s="117">
        <v>300000</v>
      </c>
      <c r="E20" s="24">
        <f>D20*0.35%</f>
        <v>1050</v>
      </c>
      <c r="F20" s="25"/>
      <c r="G20" s="26"/>
      <c r="H20" s="34" t="s">
        <v>64</v>
      </c>
      <c r="I20" s="23"/>
      <c r="J20" s="23"/>
      <c r="K20" s="23"/>
      <c r="L20" s="24">
        <f>E20</f>
        <v>1050</v>
      </c>
      <c r="M20" s="24"/>
      <c r="N20" s="15"/>
    </row>
    <row r="21" spans="1:16" x14ac:dyDescent="0.2">
      <c r="A21" s="33" t="s">
        <v>25</v>
      </c>
      <c r="B21" s="23"/>
      <c r="C21" s="23"/>
      <c r="D21" s="120" t="s">
        <v>60</v>
      </c>
      <c r="E21" s="117">
        <v>-8500</v>
      </c>
      <c r="F21" s="25"/>
      <c r="G21" s="26"/>
      <c r="H21" s="23" t="s">
        <v>3</v>
      </c>
      <c r="I21" s="23"/>
      <c r="J21" s="23"/>
      <c r="K21" s="23"/>
      <c r="L21" s="24">
        <f>E21</f>
        <v>-8500</v>
      </c>
      <c r="M21" s="24"/>
      <c r="N21" s="15"/>
    </row>
    <row r="22" spans="1:16" x14ac:dyDescent="0.2">
      <c r="A22" s="22"/>
      <c r="B22" s="23"/>
      <c r="C22" s="23"/>
      <c r="D22" s="23"/>
      <c r="E22" s="24"/>
      <c r="F22" s="25"/>
      <c r="G22" s="26"/>
      <c r="H22" s="23"/>
      <c r="I22" s="23"/>
      <c r="J22" s="23"/>
      <c r="K22" s="23"/>
      <c r="L22" s="24"/>
      <c r="M22" s="24"/>
      <c r="N22" s="32"/>
      <c r="O22" s="1"/>
      <c r="P22" s="1"/>
    </row>
    <row r="23" spans="1:16" s="1" customFormat="1" x14ac:dyDescent="0.2">
      <c r="A23" s="27" t="s">
        <v>4</v>
      </c>
      <c r="B23" s="28"/>
      <c r="C23" s="28"/>
      <c r="D23" s="28"/>
      <c r="E23" s="29"/>
      <c r="F23" s="30"/>
      <c r="G23" s="31"/>
      <c r="H23" s="28" t="s">
        <v>4</v>
      </c>
      <c r="I23" s="28"/>
      <c r="J23" s="28"/>
      <c r="K23" s="28"/>
      <c r="L23" s="29"/>
      <c r="M23" s="29"/>
      <c r="N23" s="15"/>
      <c r="O23"/>
      <c r="P23"/>
    </row>
    <row r="24" spans="1:16" x14ac:dyDescent="0.2">
      <c r="A24" s="22" t="s">
        <v>12</v>
      </c>
      <c r="B24" s="23"/>
      <c r="C24" s="23"/>
      <c r="D24" s="120" t="s">
        <v>60</v>
      </c>
      <c r="E24" s="117">
        <v>-5000</v>
      </c>
      <c r="F24" s="25"/>
      <c r="G24" s="26"/>
      <c r="H24" s="23" t="s">
        <v>12</v>
      </c>
      <c r="I24" s="23"/>
      <c r="J24" s="23"/>
      <c r="K24" s="34"/>
      <c r="L24" s="35">
        <f>E24</f>
        <v>-5000</v>
      </c>
      <c r="M24" s="24"/>
      <c r="N24" s="15"/>
    </row>
    <row r="25" spans="1:16" x14ac:dyDescent="0.2">
      <c r="A25" s="33" t="s">
        <v>45</v>
      </c>
      <c r="B25" s="23"/>
      <c r="C25" s="23"/>
      <c r="D25" s="120" t="s">
        <v>60</v>
      </c>
      <c r="E25" s="117">
        <v>-10000</v>
      </c>
      <c r="F25" s="25"/>
      <c r="G25" s="26"/>
      <c r="H25" s="23" t="s">
        <v>41</v>
      </c>
      <c r="I25" s="23"/>
      <c r="J25" s="23"/>
      <c r="K25" s="23"/>
      <c r="L25" s="37">
        <f>+E25</f>
        <v>-10000</v>
      </c>
      <c r="M25" s="24"/>
      <c r="N25" s="32"/>
      <c r="O25" s="1"/>
      <c r="P25" s="1"/>
    </row>
    <row r="26" spans="1:16" s="1" customFormat="1" ht="13.5" thickBot="1" x14ac:dyDescent="0.25">
      <c r="A26" s="27" t="s">
        <v>5</v>
      </c>
      <c r="B26" s="28"/>
      <c r="C26" s="28"/>
      <c r="D26" s="28"/>
      <c r="E26" s="39">
        <f>SUM(E17:E25)</f>
        <v>85155.696299999996</v>
      </c>
      <c r="F26" s="30"/>
      <c r="G26" s="31"/>
      <c r="H26" s="28" t="s">
        <v>5</v>
      </c>
      <c r="I26" s="28"/>
      <c r="J26" s="28"/>
      <c r="K26" s="28"/>
      <c r="L26" s="39">
        <f>SUM(L13:L25)</f>
        <v>52550</v>
      </c>
      <c r="M26" s="29"/>
      <c r="N26" s="15"/>
      <c r="O26"/>
      <c r="P26"/>
    </row>
    <row r="27" spans="1:16" ht="13.5" thickTop="1" x14ac:dyDescent="0.2">
      <c r="A27" s="22"/>
      <c r="B27" s="23"/>
      <c r="C27" s="23"/>
      <c r="D27" s="23"/>
      <c r="E27" s="24"/>
      <c r="F27" s="25"/>
      <c r="G27" s="26"/>
      <c r="H27" s="23"/>
      <c r="I27" s="23"/>
      <c r="J27" s="23"/>
      <c r="K27" s="23"/>
      <c r="L27" s="24"/>
      <c r="M27" s="24"/>
      <c r="N27" s="32"/>
      <c r="O27" s="1"/>
      <c r="P27" s="1"/>
    </row>
    <row r="28" spans="1:16" s="1" customFormat="1" x14ac:dyDescent="0.2">
      <c r="A28" s="27"/>
      <c r="B28" s="28"/>
      <c r="C28" s="28"/>
      <c r="D28" s="28"/>
      <c r="E28" s="40"/>
      <c r="F28" s="30"/>
      <c r="G28" s="31"/>
      <c r="H28" s="28"/>
      <c r="I28" s="28"/>
      <c r="J28" s="28"/>
      <c r="K28" s="28"/>
      <c r="L28" s="40"/>
      <c r="M28" s="29"/>
      <c r="N28" s="15"/>
      <c r="O28"/>
      <c r="P28"/>
    </row>
    <row r="29" spans="1:16" s="1" customFormat="1" x14ac:dyDescent="0.2">
      <c r="A29" s="41" t="s">
        <v>6</v>
      </c>
      <c r="B29" s="23"/>
      <c r="C29" s="23"/>
      <c r="D29" s="23"/>
      <c r="E29" s="24"/>
      <c r="F29" s="30"/>
      <c r="G29" s="31"/>
      <c r="H29" s="42" t="s">
        <v>6</v>
      </c>
      <c r="I29" s="23"/>
      <c r="J29" s="23"/>
      <c r="K29" s="23"/>
      <c r="L29" s="24"/>
      <c r="M29" s="29"/>
      <c r="N29" s="15"/>
      <c r="O29"/>
      <c r="P29"/>
    </row>
    <row r="30" spans="1:16" s="1" customFormat="1" x14ac:dyDescent="0.2">
      <c r="A30" s="22"/>
      <c r="B30" s="23"/>
      <c r="C30" s="23"/>
      <c r="D30" s="23"/>
      <c r="E30" s="24"/>
      <c r="F30" s="30"/>
      <c r="G30" s="31"/>
      <c r="H30" s="23"/>
      <c r="I30" s="23"/>
      <c r="J30" s="23"/>
      <c r="K30" s="23"/>
      <c r="L30" s="24"/>
      <c r="M30" s="29"/>
      <c r="N30" s="15"/>
      <c r="O30"/>
      <c r="P30"/>
    </row>
    <row r="31" spans="1:16" s="1" customFormat="1" x14ac:dyDescent="0.2">
      <c r="A31" s="33" t="s">
        <v>71</v>
      </c>
      <c r="B31" s="23">
        <v>0</v>
      </c>
      <c r="C31" s="24">
        <v>75518</v>
      </c>
      <c r="D31" s="24"/>
      <c r="E31" s="24">
        <f>IF(E26&gt;0,IF(E26&lt;C31,+E26*36.97%,+C31*36.97%),0)</f>
        <v>27919.004599999997</v>
      </c>
      <c r="F31" s="30"/>
      <c r="G31" s="31"/>
      <c r="H31" s="34" t="s">
        <v>71</v>
      </c>
      <c r="I31" s="23">
        <v>0</v>
      </c>
      <c r="J31" s="24">
        <v>75518</v>
      </c>
      <c r="K31" s="24"/>
      <c r="L31" s="24">
        <f>IF(L26&gt;0,IF(L26&lt;J31,+L26*36.97%,+J31*36.97%),0)</f>
        <v>19427.734999999997</v>
      </c>
      <c r="M31" s="29"/>
      <c r="N31" s="15"/>
      <c r="O31"/>
      <c r="P31"/>
    </row>
    <row r="32" spans="1:16" s="1" customFormat="1" x14ac:dyDescent="0.2">
      <c r="A32" s="33" t="s">
        <v>56</v>
      </c>
      <c r="B32" s="24">
        <v>75518</v>
      </c>
      <c r="C32" s="24">
        <v>0</v>
      </c>
      <c r="D32" s="24"/>
      <c r="E32" s="24">
        <f>IF(E26&gt;C31,(E26-C31)*0.495,0)</f>
        <v>4770.6596684999977</v>
      </c>
      <c r="F32" s="30"/>
      <c r="G32" s="31"/>
      <c r="H32" s="34" t="s">
        <v>56</v>
      </c>
      <c r="I32" s="24">
        <v>75518</v>
      </c>
      <c r="J32" s="24">
        <v>0</v>
      </c>
      <c r="K32" s="24"/>
      <c r="L32" s="24">
        <f>IF(L26&gt;J31,(L26-J31)*0.495,0)</f>
        <v>0</v>
      </c>
      <c r="M32" s="29"/>
      <c r="N32" s="15"/>
      <c r="O32"/>
      <c r="P32" s="2"/>
    </row>
    <row r="33" spans="1:16" s="1" customFormat="1" x14ac:dyDescent="0.2">
      <c r="A33" s="33" t="s">
        <v>72</v>
      </c>
      <c r="B33" s="23"/>
      <c r="C33" s="24">
        <f>IF(E26-B32&lt;0,0,IF(E26-B32&lt;SUM(-E14-E15-E16-E21),E26-B32,-E14-E15-E16-E21))</f>
        <v>9637.696299999996</v>
      </c>
      <c r="D33" s="23"/>
      <c r="E33" s="37">
        <f>(49.5%-36.97%)*C33</f>
        <v>1207.6033463899996</v>
      </c>
      <c r="F33" s="30"/>
      <c r="G33" s="31"/>
      <c r="H33" s="34" t="s">
        <v>72</v>
      </c>
      <c r="I33" s="23"/>
      <c r="J33" s="24">
        <f>IF(L26-I32&lt;0,0,IF(L26-I32&lt;SUM(-L21),L26-I32,-L21))</f>
        <v>0</v>
      </c>
      <c r="K33" s="23"/>
      <c r="L33" s="37">
        <f>(49.5%-36.93%)*J33</f>
        <v>0</v>
      </c>
      <c r="M33" s="29"/>
      <c r="N33" s="15"/>
      <c r="O33"/>
      <c r="P33"/>
    </row>
    <row r="34" spans="1:16" s="1" customFormat="1" x14ac:dyDescent="0.2">
      <c r="A34" s="22" t="s">
        <v>7</v>
      </c>
      <c r="B34" s="23"/>
      <c r="C34" s="24"/>
      <c r="D34" s="23"/>
      <c r="E34" s="24">
        <f>SUM(E31:E33)</f>
        <v>33897.267614889992</v>
      </c>
      <c r="F34" s="30"/>
      <c r="G34" s="31"/>
      <c r="H34" s="23" t="s">
        <v>7</v>
      </c>
      <c r="I34" s="23"/>
      <c r="J34" s="23"/>
      <c r="K34" s="23"/>
      <c r="L34" s="24">
        <f>SUM(L31:L32)</f>
        <v>19427.734999999997</v>
      </c>
      <c r="M34" s="29"/>
      <c r="N34" s="15"/>
      <c r="O34"/>
      <c r="P34"/>
    </row>
    <row r="35" spans="1:16" s="1" customFormat="1" x14ac:dyDescent="0.2">
      <c r="A35" s="22"/>
      <c r="B35" s="23"/>
      <c r="C35" s="23"/>
      <c r="D35" s="23"/>
      <c r="E35" s="24"/>
      <c r="F35" s="30"/>
      <c r="G35" s="31"/>
      <c r="H35" s="23"/>
      <c r="I35" s="23"/>
      <c r="J35" s="23"/>
      <c r="K35" s="23"/>
      <c r="L35" s="24"/>
      <c r="M35" s="29"/>
      <c r="N35" s="15"/>
      <c r="O35"/>
      <c r="P35"/>
    </row>
    <row r="36" spans="1:16" s="1" customFormat="1" x14ac:dyDescent="0.2">
      <c r="A36" s="33" t="s">
        <v>15</v>
      </c>
      <c r="B36" s="23"/>
      <c r="C36" s="23"/>
      <c r="D36" s="23"/>
      <c r="E36" s="24">
        <f>-'Heffingskortingen 2024'!E8</f>
        <v>0</v>
      </c>
      <c r="F36" s="30"/>
      <c r="G36" s="31"/>
      <c r="H36" s="34" t="s">
        <v>15</v>
      </c>
      <c r="I36" s="23"/>
      <c r="J36" s="23"/>
      <c r="K36" s="23"/>
      <c r="L36" s="24">
        <f>-'Heffingskortingen 2024'!E17</f>
        <v>-1523.0369000000001</v>
      </c>
      <c r="M36" s="29"/>
      <c r="N36" s="15"/>
      <c r="O36"/>
      <c r="P36"/>
    </row>
    <row r="37" spans="1:16" s="1" customFormat="1" x14ac:dyDescent="0.2">
      <c r="A37" s="22" t="s">
        <v>51</v>
      </c>
      <c r="B37" s="23"/>
      <c r="C37" s="23"/>
      <c r="D37" s="23"/>
      <c r="E37" s="24">
        <f>-'Heffingskortingen 2024'!E28</f>
        <v>-1131.4084608700014</v>
      </c>
      <c r="F37" s="30"/>
      <c r="G37" s="31"/>
      <c r="H37" s="23" t="s">
        <v>13</v>
      </c>
      <c r="I37" s="23"/>
      <c r="J37" s="23"/>
      <c r="K37" s="23"/>
      <c r="L37" s="24">
        <f>-'Heffingskortingen 2024'!E39</f>
        <v>-3254.0392900000006</v>
      </c>
      <c r="M37" s="29"/>
      <c r="N37" s="15"/>
      <c r="O37"/>
      <c r="P37"/>
    </row>
    <row r="38" spans="1:16" s="1" customFormat="1" x14ac:dyDescent="0.2">
      <c r="A38" s="43" t="s">
        <v>52</v>
      </c>
      <c r="B38" s="23"/>
      <c r="C38" s="23"/>
      <c r="D38" s="23"/>
      <c r="E38" s="24"/>
      <c r="F38" s="30"/>
      <c r="G38" s="31"/>
      <c r="H38" s="23"/>
      <c r="I38" s="23"/>
      <c r="J38" s="23"/>
      <c r="K38" s="23"/>
      <c r="L38" s="24"/>
      <c r="M38" s="29"/>
      <c r="N38" s="15"/>
      <c r="O38"/>
      <c r="P38"/>
    </row>
    <row r="39" spans="1:16" s="1" customFormat="1" x14ac:dyDescent="0.2">
      <c r="A39" s="44" t="s">
        <v>53</v>
      </c>
      <c r="B39" s="23"/>
      <c r="C39" s="23"/>
      <c r="D39" s="23"/>
      <c r="E39" s="37"/>
      <c r="F39" s="30"/>
      <c r="G39" s="31"/>
      <c r="H39" s="23"/>
      <c r="I39" s="23"/>
      <c r="J39" s="23"/>
      <c r="K39" s="23"/>
      <c r="L39" s="37"/>
      <c r="M39" s="29"/>
      <c r="N39" s="15"/>
      <c r="O39"/>
      <c r="P39"/>
    </row>
    <row r="40" spans="1:16" s="1" customFormat="1" ht="13.5" thickBot="1" x14ac:dyDescent="0.25">
      <c r="A40" s="22" t="s">
        <v>8</v>
      </c>
      <c r="B40" s="23"/>
      <c r="C40" s="23"/>
      <c r="D40" s="23"/>
      <c r="E40" s="45">
        <f>SUM(E34:E37)</f>
        <v>32765.859154019992</v>
      </c>
      <c r="F40" s="30"/>
      <c r="G40" s="31"/>
      <c r="H40" s="23" t="s">
        <v>8</v>
      </c>
      <c r="I40" s="23"/>
      <c r="J40" s="23"/>
      <c r="K40" s="23"/>
      <c r="L40" s="45">
        <f>SUM(L34:L37)</f>
        <v>14650.658809999997</v>
      </c>
      <c r="M40" s="29"/>
      <c r="N40" s="15"/>
      <c r="O40"/>
      <c r="P40"/>
    </row>
    <row r="41" spans="1:16" s="1" customFormat="1" ht="13.5" thickTop="1" x14ac:dyDescent="0.2">
      <c r="A41" s="22"/>
      <c r="B41" s="23"/>
      <c r="C41" s="23"/>
      <c r="D41" s="23"/>
      <c r="E41" s="24"/>
      <c r="F41" s="30"/>
      <c r="G41" s="31"/>
      <c r="H41" s="23"/>
      <c r="I41" s="23"/>
      <c r="J41" s="23"/>
      <c r="K41" s="23"/>
      <c r="L41" s="24"/>
      <c r="M41" s="29"/>
      <c r="N41" s="15"/>
      <c r="O41"/>
      <c r="P41"/>
    </row>
    <row r="42" spans="1:16" s="1" customFormat="1" x14ac:dyDescent="0.2">
      <c r="A42" s="41" t="s">
        <v>49</v>
      </c>
      <c r="B42" s="23"/>
      <c r="C42" s="23"/>
      <c r="D42" s="23"/>
      <c r="E42" s="24"/>
      <c r="F42" s="30"/>
      <c r="G42" s="31"/>
      <c r="H42" s="42" t="s">
        <v>49</v>
      </c>
      <c r="I42" s="23"/>
      <c r="J42" s="23"/>
      <c r="K42" s="23"/>
      <c r="L42" s="24"/>
      <c r="M42" s="29"/>
      <c r="N42" s="15"/>
      <c r="O42"/>
      <c r="P42"/>
    </row>
    <row r="43" spans="1:16" s="1" customFormat="1" x14ac:dyDescent="0.2">
      <c r="A43" s="41"/>
      <c r="B43" s="23"/>
      <c r="C43" s="23"/>
      <c r="D43" s="23"/>
      <c r="E43" s="24"/>
      <c r="F43" s="30"/>
      <c r="G43" s="31"/>
      <c r="H43" s="42"/>
      <c r="I43" s="23"/>
      <c r="J43" s="23"/>
      <c r="K43" s="23"/>
      <c r="L43" s="24"/>
      <c r="M43" s="29"/>
      <c r="N43" s="15"/>
      <c r="O43"/>
      <c r="P43"/>
    </row>
    <row r="44" spans="1:16" s="1" customFormat="1" ht="13.5" thickBot="1" x14ac:dyDescent="0.25">
      <c r="A44" s="46">
        <v>5.3199999999999997E-2</v>
      </c>
      <c r="B44" s="24">
        <f>E17</f>
        <v>107605.6963</v>
      </c>
      <c r="C44" s="47" t="s">
        <v>73</v>
      </c>
      <c r="D44" s="23"/>
      <c r="E44" s="45">
        <f>IF(B44&lt;0,0,IF(B44&gt;71628,71628*A44,A44*B44))</f>
        <v>3810.6095999999998</v>
      </c>
      <c r="F44" s="30"/>
      <c r="G44" s="31"/>
      <c r="H44" s="48">
        <v>5.3199999999999997E-2</v>
      </c>
      <c r="I44" s="24">
        <f>L13</f>
        <v>75000</v>
      </c>
      <c r="J44" s="47" t="s">
        <v>73</v>
      </c>
      <c r="K44" s="23"/>
      <c r="L44" s="45">
        <f>IF(I44&lt;0,0,IF(I44&gt;71628,71628*H44,H44*I44))</f>
        <v>3810.6095999999998</v>
      </c>
      <c r="M44" s="29"/>
      <c r="N44" s="15"/>
      <c r="O44"/>
      <c r="P44"/>
    </row>
    <row r="45" spans="1:16" s="1" customFormat="1" ht="13.5" thickTop="1" x14ac:dyDescent="0.2">
      <c r="A45" s="27"/>
      <c r="B45" s="28"/>
      <c r="C45" s="28"/>
      <c r="D45" s="28"/>
      <c r="E45" s="40"/>
      <c r="F45" s="30"/>
      <c r="G45" s="31"/>
      <c r="H45" s="23"/>
      <c r="I45" s="23"/>
      <c r="J45" s="23"/>
      <c r="K45" s="23"/>
      <c r="L45" s="23"/>
      <c r="M45" s="29"/>
      <c r="N45" s="15"/>
      <c r="O45"/>
      <c r="P45"/>
    </row>
    <row r="46" spans="1:16" s="1" customFormat="1" x14ac:dyDescent="0.2">
      <c r="A46" s="49"/>
      <c r="B46" s="50"/>
      <c r="C46" s="50"/>
      <c r="D46" s="50"/>
      <c r="E46" s="51"/>
      <c r="F46" s="52"/>
      <c r="G46" s="53"/>
      <c r="H46" s="54"/>
      <c r="I46" s="54"/>
      <c r="J46" s="54"/>
      <c r="K46" s="54"/>
      <c r="L46" s="54"/>
      <c r="M46" s="52"/>
      <c r="N46" s="15"/>
      <c r="O46"/>
      <c r="P46"/>
    </row>
    <row r="47" spans="1:16" s="1" customFormat="1" x14ac:dyDescent="0.2">
      <c r="A47" s="55"/>
      <c r="B47" s="56"/>
      <c r="C47" s="56"/>
      <c r="D47" s="56"/>
      <c r="E47" s="57"/>
      <c r="F47" s="58"/>
      <c r="G47" s="59"/>
      <c r="H47" s="56" t="s">
        <v>20</v>
      </c>
      <c r="I47" s="60"/>
      <c r="J47" s="60"/>
      <c r="K47" s="60"/>
      <c r="L47" s="60"/>
      <c r="M47" s="61"/>
      <c r="N47" s="15"/>
      <c r="O47"/>
      <c r="P47"/>
    </row>
    <row r="48" spans="1:16" s="1" customFormat="1" x14ac:dyDescent="0.2">
      <c r="A48" s="55"/>
      <c r="B48" s="56"/>
      <c r="C48" s="56"/>
      <c r="D48" s="56"/>
      <c r="E48" s="57"/>
      <c r="F48" s="58"/>
      <c r="G48" s="59"/>
      <c r="H48" s="60"/>
      <c r="I48" s="60"/>
      <c r="J48" s="60"/>
      <c r="K48" s="60"/>
      <c r="L48" s="60"/>
      <c r="M48" s="61"/>
      <c r="N48" s="15"/>
      <c r="O48"/>
      <c r="P48"/>
    </row>
    <row r="49" spans="1:16" s="1" customFormat="1" x14ac:dyDescent="0.2">
      <c r="A49" s="55"/>
      <c r="B49" s="56"/>
      <c r="C49" s="56"/>
      <c r="D49" s="56"/>
      <c r="E49" s="57"/>
      <c r="F49" s="58"/>
      <c r="G49" s="59"/>
      <c r="H49" s="56" t="s">
        <v>9</v>
      </c>
      <c r="I49" s="60"/>
      <c r="J49" s="60"/>
      <c r="K49" s="62"/>
      <c r="L49" s="60"/>
      <c r="M49" s="61"/>
      <c r="N49" s="15"/>
      <c r="O49"/>
      <c r="P49"/>
    </row>
    <row r="50" spans="1:16" s="1" customFormat="1" x14ac:dyDescent="0.2">
      <c r="A50" s="55"/>
      <c r="B50" s="56"/>
      <c r="C50" s="56"/>
      <c r="D50" s="56"/>
      <c r="E50" s="57"/>
      <c r="F50" s="58"/>
      <c r="G50" s="59"/>
      <c r="H50" s="60" t="s">
        <v>11</v>
      </c>
      <c r="I50" s="60"/>
      <c r="J50" s="60"/>
      <c r="K50" s="60"/>
      <c r="L50" s="62">
        <f>E13</f>
        <v>130000</v>
      </c>
      <c r="M50" s="61"/>
      <c r="N50" s="15"/>
      <c r="O50"/>
      <c r="P50"/>
    </row>
    <row r="51" spans="1:16" s="1" customFormat="1" x14ac:dyDescent="0.2">
      <c r="A51" s="55"/>
      <c r="B51" s="56"/>
      <c r="C51" s="56"/>
      <c r="D51" s="56"/>
      <c r="E51" s="57"/>
      <c r="F51" s="58"/>
      <c r="G51" s="59"/>
      <c r="H51" s="63" t="s">
        <v>17</v>
      </c>
      <c r="I51" s="60"/>
      <c r="J51" s="60"/>
      <c r="K51" s="60"/>
      <c r="L51" s="62">
        <f>-L13</f>
        <v>-75000</v>
      </c>
      <c r="M51" s="61"/>
      <c r="N51" s="15"/>
      <c r="O51"/>
      <c r="P51"/>
    </row>
    <row r="52" spans="1:16" s="1" customFormat="1" x14ac:dyDescent="0.2">
      <c r="A52" s="55"/>
      <c r="B52" s="56"/>
      <c r="C52" s="56"/>
      <c r="D52" s="56"/>
      <c r="E52" s="57"/>
      <c r="F52" s="58"/>
      <c r="G52" s="59"/>
      <c r="H52" s="60"/>
      <c r="I52" s="60"/>
      <c r="J52" s="60"/>
      <c r="K52" s="60"/>
      <c r="L52" s="64"/>
      <c r="M52" s="61"/>
      <c r="N52" s="65"/>
      <c r="O52"/>
      <c r="P52"/>
    </row>
    <row r="53" spans="1:16" s="1" customFormat="1" ht="13.5" thickBot="1" x14ac:dyDescent="0.25">
      <c r="A53" s="55"/>
      <c r="B53" s="56"/>
      <c r="C53" s="56"/>
      <c r="D53" s="56"/>
      <c r="E53" s="57"/>
      <c r="F53" s="58"/>
      <c r="G53" s="59"/>
      <c r="H53" s="56" t="s">
        <v>26</v>
      </c>
      <c r="I53" s="60"/>
      <c r="J53" s="60"/>
      <c r="K53" s="60"/>
      <c r="L53" s="66">
        <f>SUM(L49:L51)</f>
        <v>55000</v>
      </c>
      <c r="M53" s="61"/>
      <c r="N53" s="15"/>
      <c r="O53"/>
      <c r="P53"/>
    </row>
    <row r="54" spans="1:16" s="1" customFormat="1" ht="13.5" thickTop="1" x14ac:dyDescent="0.2">
      <c r="A54" s="55"/>
      <c r="B54" s="56"/>
      <c r="C54" s="56"/>
      <c r="D54" s="56"/>
      <c r="E54" s="57"/>
      <c r="F54" s="58"/>
      <c r="G54" s="61"/>
      <c r="H54" s="56"/>
      <c r="I54" s="60"/>
      <c r="J54" s="60"/>
      <c r="K54" s="60"/>
      <c r="L54" s="60"/>
      <c r="M54" s="61"/>
      <c r="N54" s="15"/>
      <c r="O54"/>
      <c r="P54"/>
    </row>
    <row r="55" spans="1:16" s="1" customFormat="1" ht="13.5" thickBot="1" x14ac:dyDescent="0.25">
      <c r="A55" s="55"/>
      <c r="B55" s="56"/>
      <c r="C55" s="56"/>
      <c r="D55" s="56"/>
      <c r="E55" s="57"/>
      <c r="F55" s="58"/>
      <c r="G55" s="61"/>
      <c r="H55" s="56" t="s">
        <v>68</v>
      </c>
      <c r="I55" s="60"/>
      <c r="J55" s="60"/>
      <c r="K55" s="60"/>
      <c r="L55" s="66">
        <f>L53*19%</f>
        <v>10450</v>
      </c>
      <c r="M55" s="61"/>
      <c r="N55" s="15"/>
      <c r="O55"/>
      <c r="P55"/>
    </row>
    <row r="56" spans="1:16" s="1" customFormat="1" ht="13.5" thickTop="1" x14ac:dyDescent="0.2">
      <c r="A56" s="55"/>
      <c r="B56" s="56"/>
      <c r="C56" s="56"/>
      <c r="D56" s="56"/>
      <c r="E56" s="57"/>
      <c r="F56" s="61"/>
      <c r="G56" s="67"/>
      <c r="H56" s="56"/>
      <c r="I56" s="60"/>
      <c r="J56" s="60"/>
      <c r="K56" s="60"/>
      <c r="L56" s="60"/>
      <c r="M56" s="61"/>
      <c r="N56" s="15"/>
      <c r="O56"/>
      <c r="P56"/>
    </row>
    <row r="57" spans="1:16" s="1" customFormat="1" ht="13.5" thickBot="1" x14ac:dyDescent="0.25">
      <c r="A57" s="55"/>
      <c r="B57" s="56"/>
      <c r="C57" s="56"/>
      <c r="D57" s="56"/>
      <c r="E57" s="57"/>
      <c r="F57" s="61"/>
      <c r="G57" s="67"/>
      <c r="H57" s="56" t="s">
        <v>21</v>
      </c>
      <c r="I57" s="60"/>
      <c r="J57" s="60"/>
      <c r="K57" s="60"/>
      <c r="L57" s="66">
        <f>L53-L55</f>
        <v>44550</v>
      </c>
      <c r="M57" s="61"/>
      <c r="N57" s="15"/>
      <c r="O57"/>
      <c r="P57"/>
    </row>
    <row r="58" spans="1:16" s="1" customFormat="1" ht="13.5" thickTop="1" x14ac:dyDescent="0.2">
      <c r="A58" s="68"/>
      <c r="B58" s="69"/>
      <c r="C58" s="69"/>
      <c r="D58" s="69"/>
      <c r="E58" s="70"/>
      <c r="F58" s="71"/>
      <c r="G58" s="72"/>
      <c r="H58" s="69"/>
      <c r="I58" s="73"/>
      <c r="J58" s="73"/>
      <c r="K58" s="73"/>
      <c r="L58" s="73"/>
      <c r="M58" s="74"/>
      <c r="N58" s="15"/>
      <c r="O58"/>
      <c r="P58"/>
    </row>
    <row r="59" spans="1:16" s="1" customFormat="1" x14ac:dyDescent="0.2">
      <c r="A59" s="75"/>
      <c r="B59" s="76"/>
      <c r="C59" s="76"/>
      <c r="D59" s="76"/>
      <c r="E59" s="77"/>
      <c r="F59" s="78"/>
      <c r="G59" s="79"/>
      <c r="H59" s="76"/>
      <c r="I59" s="80"/>
      <c r="J59" s="80"/>
      <c r="K59" s="80"/>
      <c r="L59" s="80"/>
      <c r="M59" s="78"/>
      <c r="N59" s="15"/>
      <c r="O59"/>
      <c r="P59"/>
    </row>
    <row r="60" spans="1:16" s="1" customFormat="1" x14ac:dyDescent="0.2">
      <c r="A60" s="75" t="s">
        <v>22</v>
      </c>
      <c r="B60" s="76"/>
      <c r="C60" s="76"/>
      <c r="D60" s="76"/>
      <c r="E60" s="77">
        <v>0</v>
      </c>
      <c r="F60" s="78"/>
      <c r="G60" s="79"/>
      <c r="H60" s="76" t="s">
        <v>54</v>
      </c>
      <c r="I60" s="80"/>
      <c r="J60" s="80"/>
      <c r="K60" s="116">
        <v>0.33</v>
      </c>
      <c r="L60" s="81">
        <f>L57*33%</f>
        <v>14701.5</v>
      </c>
      <c r="M60" s="78"/>
      <c r="N60" s="15"/>
      <c r="O60"/>
      <c r="P60"/>
    </row>
    <row r="61" spans="1:16" s="1" customFormat="1" x14ac:dyDescent="0.2">
      <c r="A61" s="75"/>
      <c r="B61" s="76"/>
      <c r="C61" s="76"/>
      <c r="D61" s="76"/>
      <c r="E61" s="77"/>
      <c r="F61" s="78"/>
      <c r="G61" s="79"/>
      <c r="H61" s="124" t="s">
        <v>83</v>
      </c>
      <c r="I61" s="80"/>
      <c r="J61" s="80"/>
      <c r="K61" s="80"/>
      <c r="L61" s="80"/>
      <c r="M61" s="78"/>
      <c r="N61" s="15"/>
      <c r="O61"/>
      <c r="P61"/>
    </row>
    <row r="62" spans="1:16" s="1" customFormat="1" x14ac:dyDescent="0.2">
      <c r="A62" s="75"/>
      <c r="B62" s="76"/>
      <c r="C62" s="76"/>
      <c r="D62" s="76"/>
      <c r="E62" s="77"/>
      <c r="F62" s="78"/>
      <c r="G62" s="79"/>
      <c r="H62" s="76"/>
      <c r="I62" s="80"/>
      <c r="J62" s="80"/>
      <c r="K62" s="80"/>
      <c r="L62" s="80"/>
      <c r="M62" s="78"/>
      <c r="N62" s="15"/>
      <c r="O62"/>
      <c r="P62"/>
    </row>
    <row r="63" spans="1:16" s="1" customFormat="1" x14ac:dyDescent="0.2">
      <c r="A63" s="82"/>
      <c r="B63" s="83"/>
      <c r="C63" s="83"/>
      <c r="D63" s="83"/>
      <c r="E63" s="84"/>
      <c r="F63" s="85"/>
      <c r="G63" s="86"/>
      <c r="H63" s="83"/>
      <c r="I63" s="87"/>
      <c r="J63" s="87"/>
      <c r="K63" s="87"/>
      <c r="L63" s="87"/>
      <c r="M63" s="88"/>
      <c r="N63" s="15"/>
      <c r="O63"/>
      <c r="P63"/>
    </row>
    <row r="64" spans="1:16" s="1" customFormat="1" x14ac:dyDescent="0.2">
      <c r="A64" s="89"/>
      <c r="B64" s="90"/>
      <c r="C64" s="90"/>
      <c r="D64" s="90"/>
      <c r="E64" s="91"/>
      <c r="F64" s="92"/>
      <c r="G64" s="93"/>
      <c r="H64" s="90"/>
      <c r="I64" s="94"/>
      <c r="J64" s="94"/>
      <c r="K64" s="94"/>
      <c r="L64" s="94"/>
      <c r="M64" s="92"/>
      <c r="N64" s="15"/>
      <c r="O64"/>
      <c r="P64"/>
    </row>
    <row r="65" spans="1:16" s="1" customFormat="1" x14ac:dyDescent="0.2">
      <c r="A65" s="89" t="s">
        <v>24</v>
      </c>
      <c r="B65" s="90"/>
      <c r="C65" s="90"/>
      <c r="D65" s="90"/>
      <c r="E65" s="91">
        <f>E40+E44+E60</f>
        <v>36576.468754019996</v>
      </c>
      <c r="F65" s="92"/>
      <c r="G65" s="93"/>
      <c r="H65" s="90" t="s">
        <v>24</v>
      </c>
      <c r="I65" s="94"/>
      <c r="J65" s="94"/>
      <c r="K65" s="94"/>
      <c r="L65" s="92">
        <f>L40+L44+L60+L55</f>
        <v>43612.768409999997</v>
      </c>
      <c r="M65" s="92"/>
      <c r="N65" s="15"/>
      <c r="O65"/>
      <c r="P65"/>
    </row>
    <row r="66" spans="1:16" s="1" customFormat="1" x14ac:dyDescent="0.2">
      <c r="A66" s="95"/>
      <c r="B66" s="96"/>
      <c r="C66" s="96"/>
      <c r="D66" s="96"/>
      <c r="E66" s="97"/>
      <c r="F66" s="98"/>
      <c r="G66" s="99"/>
      <c r="H66" s="96"/>
      <c r="I66" s="100"/>
      <c r="J66" s="100"/>
      <c r="K66" s="100"/>
      <c r="L66" s="100"/>
      <c r="M66" s="101"/>
      <c r="N66" s="15"/>
      <c r="O66"/>
      <c r="P66"/>
    </row>
    <row r="67" spans="1:16" s="1" customFormat="1" x14ac:dyDescent="0.2">
      <c r="A67" s="102"/>
      <c r="B67" s="103"/>
      <c r="C67" s="103"/>
      <c r="D67" s="103"/>
      <c r="E67" s="104"/>
      <c r="F67" s="105"/>
      <c r="G67" s="105"/>
      <c r="H67" s="103"/>
      <c r="I67" s="106"/>
      <c r="J67" s="106"/>
      <c r="K67" s="106"/>
      <c r="L67" s="107"/>
      <c r="M67" s="108"/>
      <c r="N67"/>
      <c r="O67"/>
      <c r="P67"/>
    </row>
    <row r="68" spans="1:16" x14ac:dyDescent="0.2">
      <c r="A68" s="109" t="s">
        <v>57</v>
      </c>
      <c r="B68" s="110"/>
      <c r="C68" s="110"/>
      <c r="D68" s="110"/>
      <c r="E68" s="110"/>
      <c r="F68" s="110"/>
      <c r="G68" s="110"/>
      <c r="H68" s="110"/>
      <c r="I68" s="110"/>
      <c r="J68" s="110"/>
      <c r="K68" s="110"/>
      <c r="L68" s="110"/>
      <c r="M68" s="111"/>
    </row>
    <row r="69" spans="1:16" x14ac:dyDescent="0.2">
      <c r="A69" s="112"/>
      <c r="B69" s="110"/>
      <c r="C69" s="110"/>
      <c r="D69" s="110"/>
      <c r="E69" s="110"/>
      <c r="F69" s="110"/>
      <c r="G69" s="110"/>
      <c r="H69" s="110"/>
      <c r="I69" s="110"/>
      <c r="J69" s="110"/>
      <c r="K69" s="110"/>
      <c r="L69" s="110"/>
      <c r="M69" s="111"/>
    </row>
    <row r="70" spans="1:16" x14ac:dyDescent="0.2">
      <c r="A70" s="109" t="s">
        <v>79</v>
      </c>
      <c r="B70" s="110"/>
      <c r="C70" s="110"/>
      <c r="D70" s="110"/>
      <c r="E70" s="110"/>
      <c r="F70" s="110"/>
      <c r="G70" s="110"/>
      <c r="H70" s="110"/>
      <c r="I70" s="110"/>
      <c r="J70" s="110"/>
      <c r="K70" s="110"/>
      <c r="L70" s="110"/>
      <c r="M70" s="111"/>
    </row>
    <row r="71" spans="1:16" x14ac:dyDescent="0.2">
      <c r="A71" s="109" t="s">
        <v>80</v>
      </c>
      <c r="B71" s="110"/>
      <c r="C71" s="110"/>
      <c r="D71" s="110"/>
      <c r="E71" s="110"/>
      <c r="F71" s="110"/>
      <c r="G71" s="110"/>
      <c r="H71" s="110"/>
      <c r="I71" s="110"/>
      <c r="J71" s="110"/>
      <c r="K71" s="110"/>
      <c r="L71" s="110"/>
      <c r="M71" s="111"/>
    </row>
    <row r="72" spans="1:16" x14ac:dyDescent="0.2">
      <c r="A72" s="112"/>
      <c r="B72" s="110"/>
      <c r="C72" s="110"/>
      <c r="D72" s="110"/>
      <c r="E72" s="110"/>
      <c r="F72" s="110"/>
      <c r="G72" s="110"/>
      <c r="H72" s="110"/>
      <c r="I72" s="110"/>
      <c r="J72" s="110"/>
      <c r="K72" s="110"/>
      <c r="L72" s="110"/>
      <c r="M72" s="111"/>
    </row>
    <row r="73" spans="1:16" x14ac:dyDescent="0.2">
      <c r="A73" s="109" t="s">
        <v>81</v>
      </c>
      <c r="B73" s="110"/>
      <c r="C73" s="110"/>
      <c r="D73" s="110"/>
      <c r="E73" s="110"/>
      <c r="F73" s="110"/>
      <c r="G73" s="110"/>
      <c r="H73" s="110"/>
      <c r="I73" s="110"/>
      <c r="J73" s="110"/>
      <c r="K73" s="110"/>
      <c r="L73" s="110"/>
      <c r="M73" s="111"/>
    </row>
    <row r="74" spans="1:16" x14ac:dyDescent="0.2">
      <c r="A74" s="112" t="s">
        <v>30</v>
      </c>
      <c r="B74" s="110"/>
      <c r="C74" s="110"/>
      <c r="D74" s="110"/>
      <c r="E74" s="110"/>
      <c r="F74" s="110"/>
      <c r="G74" s="110"/>
      <c r="H74" s="110"/>
      <c r="I74" s="110"/>
      <c r="J74" s="110"/>
      <c r="K74" s="110"/>
      <c r="L74" s="110"/>
      <c r="M74" s="111"/>
    </row>
    <row r="75" spans="1:16" x14ac:dyDescent="0.2">
      <c r="A75" s="112"/>
      <c r="B75" s="110"/>
      <c r="C75" s="110"/>
      <c r="D75" s="110"/>
      <c r="E75" s="110"/>
      <c r="F75" s="110"/>
      <c r="G75" s="110"/>
      <c r="H75" s="110"/>
      <c r="I75" s="110"/>
      <c r="J75" s="110"/>
      <c r="K75" s="110"/>
      <c r="L75" s="110"/>
      <c r="M75" s="111"/>
    </row>
    <row r="76" spans="1:16" x14ac:dyDescent="0.2">
      <c r="A76" s="109" t="s">
        <v>69</v>
      </c>
      <c r="B76" s="110"/>
      <c r="C76" s="110"/>
      <c r="D76" s="110"/>
      <c r="E76" s="110"/>
      <c r="F76" s="110"/>
      <c r="G76" s="110"/>
      <c r="H76" s="110"/>
      <c r="I76" s="110"/>
      <c r="J76" s="110"/>
      <c r="K76" s="110"/>
      <c r="L76" s="110"/>
      <c r="M76" s="111"/>
    </row>
    <row r="77" spans="1:16" x14ac:dyDescent="0.2">
      <c r="A77" s="112"/>
      <c r="B77" s="110"/>
      <c r="C77" s="110"/>
      <c r="D77" s="110"/>
      <c r="E77" s="110"/>
      <c r="F77" s="110"/>
      <c r="G77" s="110"/>
      <c r="H77" s="110"/>
      <c r="I77" s="110"/>
      <c r="J77" s="110"/>
      <c r="K77" s="110"/>
      <c r="L77" s="110"/>
      <c r="M77" s="111"/>
    </row>
    <row r="78" spans="1:16" x14ac:dyDescent="0.2">
      <c r="A78" s="109" t="s">
        <v>58</v>
      </c>
      <c r="B78" s="110"/>
      <c r="C78" s="110"/>
      <c r="D78" s="110"/>
      <c r="E78" s="110"/>
      <c r="F78" s="110"/>
      <c r="G78" s="110"/>
      <c r="H78" s="110"/>
      <c r="I78" s="110"/>
      <c r="J78" s="110"/>
      <c r="K78" s="110"/>
      <c r="L78" s="110"/>
      <c r="M78" s="111"/>
    </row>
    <row r="79" spans="1:16" x14ac:dyDescent="0.2">
      <c r="A79" s="112"/>
      <c r="B79" s="110"/>
      <c r="C79" s="110"/>
      <c r="D79" s="110"/>
      <c r="E79" s="110"/>
      <c r="F79" s="110"/>
      <c r="G79" s="110"/>
      <c r="H79" s="110"/>
      <c r="I79" s="110"/>
      <c r="J79" s="110"/>
      <c r="K79" s="110"/>
      <c r="L79" s="110"/>
      <c r="M79" s="111"/>
    </row>
    <row r="80" spans="1:16" x14ac:dyDescent="0.2">
      <c r="A80" s="109" t="s">
        <v>55</v>
      </c>
      <c r="B80" s="110"/>
      <c r="C80" s="110"/>
      <c r="D80" s="110"/>
      <c r="E80" s="110"/>
      <c r="F80" s="110"/>
      <c r="G80" s="110"/>
      <c r="H80" s="110"/>
      <c r="I80" s="110"/>
      <c r="J80" s="110"/>
      <c r="K80" s="110"/>
      <c r="L80" s="110"/>
      <c r="M80" s="111"/>
    </row>
    <row r="81" spans="1:13" x14ac:dyDescent="0.2">
      <c r="A81" s="112"/>
      <c r="B81" s="110"/>
      <c r="C81" s="110"/>
      <c r="D81" s="110"/>
      <c r="E81" s="110"/>
      <c r="F81" s="110"/>
      <c r="G81" s="110"/>
      <c r="H81" s="110"/>
      <c r="I81" s="110"/>
      <c r="J81" s="110"/>
      <c r="K81" s="110"/>
      <c r="L81" s="110"/>
      <c r="M81" s="111"/>
    </row>
    <row r="82" spans="1:13" x14ac:dyDescent="0.2">
      <c r="A82" s="109" t="s">
        <v>82</v>
      </c>
      <c r="B82" s="110"/>
      <c r="C82" s="110"/>
      <c r="D82" s="110"/>
      <c r="E82" s="110"/>
      <c r="F82" s="110"/>
      <c r="G82" s="110"/>
      <c r="H82" s="110"/>
      <c r="I82" s="110"/>
      <c r="J82" s="110"/>
      <c r="K82" s="110"/>
      <c r="L82" s="110"/>
      <c r="M82" s="111"/>
    </row>
    <row r="83" spans="1:13" x14ac:dyDescent="0.2">
      <c r="A83" s="112"/>
      <c r="B83" s="110"/>
      <c r="C83" s="110"/>
      <c r="D83" s="110"/>
      <c r="E83" s="110"/>
      <c r="F83" s="110"/>
      <c r="G83" s="110"/>
      <c r="H83" s="110"/>
      <c r="I83" s="110"/>
      <c r="J83" s="110"/>
      <c r="K83" s="110"/>
      <c r="L83" s="110"/>
      <c r="M83" s="111"/>
    </row>
    <row r="84" spans="1:13" x14ac:dyDescent="0.2">
      <c r="A84" s="109" t="s">
        <v>23</v>
      </c>
      <c r="B84" s="110"/>
      <c r="C84" s="110"/>
      <c r="D84" s="110"/>
      <c r="E84" s="110"/>
      <c r="F84" s="110"/>
      <c r="G84" s="110"/>
      <c r="H84" s="110"/>
      <c r="I84" s="110"/>
      <c r="J84" s="110"/>
      <c r="K84" s="110"/>
      <c r="L84" s="110"/>
      <c r="M84" s="111"/>
    </row>
    <row r="85" spans="1:13" x14ac:dyDescent="0.2">
      <c r="A85" s="112"/>
      <c r="B85" s="110"/>
      <c r="C85" s="110"/>
      <c r="D85" s="110"/>
      <c r="E85" s="110"/>
      <c r="F85" s="110"/>
      <c r="G85" s="110"/>
      <c r="H85" s="110"/>
      <c r="I85" s="110"/>
      <c r="J85" s="110"/>
      <c r="K85" s="110"/>
      <c r="L85" s="110"/>
      <c r="M85" s="111"/>
    </row>
    <row r="86" spans="1:13" x14ac:dyDescent="0.2">
      <c r="A86" s="109" t="s">
        <v>63</v>
      </c>
      <c r="B86" s="110"/>
      <c r="C86" s="110"/>
      <c r="D86" s="110"/>
      <c r="E86" s="110"/>
      <c r="F86" s="110"/>
      <c r="G86" s="110"/>
      <c r="H86" s="110"/>
      <c r="I86" s="110"/>
      <c r="J86" s="110"/>
      <c r="K86" s="110"/>
      <c r="L86" s="110"/>
      <c r="M86" s="111"/>
    </row>
    <row r="87" spans="1:13" x14ac:dyDescent="0.2">
      <c r="A87" s="112"/>
      <c r="B87" s="110"/>
      <c r="C87" s="110"/>
      <c r="D87" s="110"/>
      <c r="E87" s="110"/>
      <c r="F87" s="110"/>
      <c r="G87" s="110"/>
      <c r="H87" s="110"/>
      <c r="I87" s="110"/>
      <c r="J87" s="110"/>
      <c r="K87" s="110"/>
      <c r="L87" s="110"/>
      <c r="M87" s="111"/>
    </row>
    <row r="88" spans="1:13" x14ac:dyDescent="0.2">
      <c r="A88" s="109" t="s">
        <v>27</v>
      </c>
      <c r="B88" s="110"/>
      <c r="C88" s="110"/>
      <c r="D88" s="110"/>
      <c r="E88" s="110"/>
      <c r="F88" s="110"/>
      <c r="G88" s="110"/>
      <c r="H88" s="110"/>
      <c r="I88" s="110"/>
      <c r="J88" s="110"/>
      <c r="K88" s="110"/>
      <c r="L88" s="110"/>
      <c r="M88" s="111"/>
    </row>
    <row r="89" spans="1:13" x14ac:dyDescent="0.2">
      <c r="A89" s="112"/>
      <c r="B89" s="110"/>
      <c r="C89" s="110"/>
      <c r="D89" s="110"/>
      <c r="E89" s="110"/>
      <c r="F89" s="110"/>
      <c r="G89" s="110"/>
      <c r="H89" s="110"/>
      <c r="I89" s="110"/>
      <c r="J89" s="110"/>
      <c r="K89" s="110"/>
      <c r="L89" s="110"/>
      <c r="M89" s="111"/>
    </row>
    <row r="90" spans="1:13" x14ac:dyDescent="0.2">
      <c r="A90" s="109" t="s">
        <v>28</v>
      </c>
      <c r="B90" s="110"/>
      <c r="C90" s="110"/>
      <c r="D90" s="110"/>
      <c r="E90" s="110"/>
      <c r="F90" s="110"/>
      <c r="G90" s="110"/>
      <c r="H90" s="110"/>
      <c r="I90" s="110"/>
      <c r="J90" s="110"/>
      <c r="K90" s="110"/>
      <c r="L90" s="110"/>
      <c r="M90" s="111"/>
    </row>
    <row r="91" spans="1:13" x14ac:dyDescent="0.2">
      <c r="A91" s="109"/>
      <c r="B91" s="110"/>
      <c r="C91" s="110"/>
      <c r="D91" s="110"/>
      <c r="E91" s="110"/>
      <c r="F91" s="110"/>
      <c r="G91" s="110"/>
      <c r="H91" s="110"/>
      <c r="I91" s="110"/>
      <c r="J91" s="110"/>
      <c r="K91" s="110"/>
      <c r="L91" s="110"/>
      <c r="M91" s="111"/>
    </row>
    <row r="92" spans="1:13" x14ac:dyDescent="0.2">
      <c r="A92" s="109" t="s">
        <v>31</v>
      </c>
      <c r="B92" s="110"/>
      <c r="C92" s="110"/>
      <c r="D92" s="110"/>
      <c r="E92" s="110"/>
      <c r="F92" s="110"/>
      <c r="G92" s="110"/>
      <c r="H92" s="110"/>
      <c r="I92" s="110"/>
      <c r="J92" s="110"/>
      <c r="K92" s="110"/>
      <c r="L92" s="110"/>
      <c r="M92" s="111"/>
    </row>
    <row r="93" spans="1:13" x14ac:dyDescent="0.2">
      <c r="A93" s="109"/>
      <c r="B93" s="110"/>
      <c r="C93" s="110"/>
      <c r="D93" s="110"/>
      <c r="E93" s="110"/>
      <c r="F93" s="110"/>
      <c r="G93" s="110"/>
      <c r="H93" s="110"/>
      <c r="I93" s="110"/>
      <c r="J93" s="110"/>
      <c r="K93" s="110"/>
      <c r="L93" s="110"/>
      <c r="M93" s="111"/>
    </row>
    <row r="94" spans="1:13" x14ac:dyDescent="0.2">
      <c r="A94" s="109" t="s">
        <v>29</v>
      </c>
      <c r="B94" s="110"/>
      <c r="C94" s="110"/>
      <c r="D94" s="110"/>
      <c r="E94" s="110"/>
      <c r="F94" s="110"/>
      <c r="G94" s="110"/>
      <c r="H94" s="110"/>
      <c r="I94" s="110"/>
      <c r="J94" s="110"/>
      <c r="K94" s="110"/>
      <c r="L94" s="110"/>
      <c r="M94" s="111"/>
    </row>
    <row r="95" spans="1:13" x14ac:dyDescent="0.2">
      <c r="A95" s="113"/>
      <c r="B95" s="114"/>
      <c r="C95" s="114"/>
      <c r="D95" s="114"/>
      <c r="E95" s="114"/>
      <c r="F95" s="114"/>
      <c r="G95" s="114"/>
      <c r="H95" s="114"/>
      <c r="I95" s="114"/>
      <c r="J95" s="114"/>
      <c r="K95" s="114"/>
      <c r="L95" s="114"/>
      <c r="M95" s="115"/>
    </row>
  </sheetData>
  <sheetProtection sheet="1" objects="1" scenarios="1"/>
  <mergeCells count="4">
    <mergeCell ref="A1:M1"/>
    <mergeCell ref="A2:M7"/>
    <mergeCell ref="A9:F9"/>
    <mergeCell ref="H9:L9"/>
  </mergeCells>
  <dataValidations count="1">
    <dataValidation type="list" allowBlank="1" showInputMessage="1" showErrorMessage="1" sqref="D14:D15" xr:uid="{D232BA70-C34D-4D7D-BFB5-08C8C2FF12AE}">
      <formula1>$O$1:$O$7</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0"/>
  <sheetViews>
    <sheetView zoomScaleNormal="100" workbookViewId="0">
      <selection activeCell="D22" sqref="D22"/>
    </sheetView>
  </sheetViews>
  <sheetFormatPr defaultRowHeight="12.75" x14ac:dyDescent="0.2"/>
  <cols>
    <col min="1" max="1" width="26.140625" customWidth="1"/>
    <col min="2" max="3" width="9.140625" style="2"/>
    <col min="4" max="4" width="13.28515625" style="2" customWidth="1"/>
    <col min="5" max="7" width="9.140625" style="2"/>
  </cols>
  <sheetData>
    <row r="1" spans="1:5" x14ac:dyDescent="0.2">
      <c r="A1" s="1" t="s">
        <v>35</v>
      </c>
    </row>
    <row r="2" spans="1:5" x14ac:dyDescent="0.2">
      <c r="A2" s="1"/>
    </row>
    <row r="3" spans="1:5" x14ac:dyDescent="0.2">
      <c r="B3" s="4" t="s">
        <v>32</v>
      </c>
      <c r="C3" s="4" t="s">
        <v>33</v>
      </c>
      <c r="D3" s="4" t="s">
        <v>38</v>
      </c>
      <c r="E3" s="4" t="s">
        <v>39</v>
      </c>
    </row>
    <row r="4" spans="1:5" x14ac:dyDescent="0.2">
      <c r="A4" s="3" t="s">
        <v>75</v>
      </c>
      <c r="B4" s="2">
        <v>0</v>
      </c>
      <c r="C4" s="2">
        <v>24813</v>
      </c>
      <c r="D4" s="2">
        <f>IF('Jaar 2024'!E26&lt;24813,+'Jaar 2024'!E26,24813)</f>
        <v>24813</v>
      </c>
      <c r="E4" s="2">
        <f>IF('Jaar 2024'!E26&gt;75518,0,3362)</f>
        <v>0</v>
      </c>
    </row>
    <row r="5" spans="1:5" x14ac:dyDescent="0.2">
      <c r="A5" s="3" t="s">
        <v>66</v>
      </c>
      <c r="B5" s="2">
        <v>24813</v>
      </c>
      <c r="C5" s="2">
        <v>75518</v>
      </c>
      <c r="D5" s="2">
        <f>IF('Jaar 2024'!E26&lt;75518,'Jaar 2024'!E26-D4,0)</f>
        <v>0</v>
      </c>
      <c r="E5" s="2">
        <f>IF(D5&gt;0,D5*-6.63%,0)</f>
        <v>0</v>
      </c>
    </row>
    <row r="6" spans="1:5" x14ac:dyDescent="0.2">
      <c r="A6" s="3" t="s">
        <v>34</v>
      </c>
      <c r="B6" s="2">
        <v>75518</v>
      </c>
      <c r="D6" s="2">
        <f>IF('Jaar 2024'!E26&gt;75518,0,0)</f>
        <v>0</v>
      </c>
      <c r="E6" s="2">
        <v>0</v>
      </c>
    </row>
    <row r="8" spans="1:5" ht="13.5" thickBot="1" x14ac:dyDescent="0.25">
      <c r="E8" s="5">
        <f>SUM(E4:E7)</f>
        <v>0</v>
      </c>
    </row>
    <row r="9" spans="1:5" ht="13.5" thickTop="1" x14ac:dyDescent="0.2"/>
    <row r="10" spans="1:5" x14ac:dyDescent="0.2">
      <c r="A10" s="1" t="s">
        <v>36</v>
      </c>
    </row>
    <row r="11" spans="1:5" x14ac:dyDescent="0.2">
      <c r="A11" s="1"/>
    </row>
    <row r="12" spans="1:5" x14ac:dyDescent="0.2">
      <c r="B12" s="4" t="s">
        <v>32</v>
      </c>
      <c r="C12" s="4" t="s">
        <v>33</v>
      </c>
      <c r="D12" s="4" t="s">
        <v>38</v>
      </c>
      <c r="E12" s="4" t="s">
        <v>39</v>
      </c>
    </row>
    <row r="13" spans="1:5" x14ac:dyDescent="0.2">
      <c r="A13" s="3" t="s">
        <v>75</v>
      </c>
      <c r="B13" s="2">
        <v>0</v>
      </c>
      <c r="C13" s="2">
        <v>24813</v>
      </c>
      <c r="D13" s="2">
        <f>IF('Jaar 2024'!L26&lt;24813,+'Jaar 2024'!L26,24813)</f>
        <v>24813</v>
      </c>
      <c r="E13" s="2">
        <f>IF('Jaar 2024'!L26&gt;75518,0,3362)</f>
        <v>3362</v>
      </c>
    </row>
    <row r="14" spans="1:5" x14ac:dyDescent="0.2">
      <c r="A14" s="3" t="s">
        <v>66</v>
      </c>
      <c r="B14" s="2">
        <v>24813</v>
      </c>
      <c r="C14" s="2">
        <v>75518</v>
      </c>
      <c r="D14" s="2">
        <f>IF('Jaar 2024'!L26&lt;75518,'Jaar 2024'!L26-D13,0)</f>
        <v>27737</v>
      </c>
      <c r="E14" s="2">
        <f>IF(D14&gt;0,D14*-6.63%,0)</f>
        <v>-1838.9630999999999</v>
      </c>
    </row>
    <row r="15" spans="1:5" x14ac:dyDescent="0.2">
      <c r="A15" s="3" t="s">
        <v>34</v>
      </c>
      <c r="B15" s="2">
        <v>75518</v>
      </c>
      <c r="D15" s="2">
        <f>IF('Jaar 2024'!L26&gt;75518,0,0)</f>
        <v>0</v>
      </c>
      <c r="E15" s="2">
        <v>0</v>
      </c>
    </row>
    <row r="17" spans="1:6" ht="13.5" thickBot="1" x14ac:dyDescent="0.25">
      <c r="E17" s="5">
        <f>SUM(E13:E16)</f>
        <v>1523.0369000000001</v>
      </c>
    </row>
    <row r="18" spans="1:6" ht="13.5" thickTop="1" x14ac:dyDescent="0.2"/>
    <row r="19" spans="1:6" x14ac:dyDescent="0.2">
      <c r="A19" s="1" t="s">
        <v>37</v>
      </c>
    </row>
    <row r="21" spans="1:6" x14ac:dyDescent="0.2">
      <c r="B21" s="4" t="s">
        <v>32</v>
      </c>
      <c r="C21" s="4" t="s">
        <v>33</v>
      </c>
      <c r="D21" s="4" t="s">
        <v>38</v>
      </c>
      <c r="E21" s="4" t="s">
        <v>39</v>
      </c>
    </row>
    <row r="22" spans="1:6" x14ac:dyDescent="0.2">
      <c r="A22" s="6" t="s">
        <v>76</v>
      </c>
      <c r="B22" s="2">
        <v>0</v>
      </c>
      <c r="C22" s="2">
        <v>11491</v>
      </c>
      <c r="D22" s="2">
        <f>IF('Jaar 2024'!E17&lt;11491,IF('Jaar 2024'!E17&lt;0,0,+'Jaar 2024'!E17),11491)</f>
        <v>11491</v>
      </c>
      <c r="E22" s="2">
        <f>D22*8.452%</f>
        <v>971.21931999999993</v>
      </c>
    </row>
    <row r="23" spans="1:6" x14ac:dyDescent="0.2">
      <c r="A23" s="7" t="s">
        <v>77</v>
      </c>
      <c r="B23" s="2">
        <v>11491</v>
      </c>
      <c r="C23" s="2">
        <v>24821</v>
      </c>
      <c r="D23" s="2">
        <f>IF('Jaar 2024'!E17&gt;24821,24821-11491,IF('Jaar 2024'!E17&lt;11491,0,'Jaar 2024'!E17-11491))</f>
        <v>13330</v>
      </c>
      <c r="E23" s="2">
        <f>D23*31.433%</f>
        <v>4190.0189</v>
      </c>
    </row>
    <row r="24" spans="1:6" x14ac:dyDescent="0.2">
      <c r="A24" s="9" t="s">
        <v>78</v>
      </c>
      <c r="B24" s="2">
        <v>24821</v>
      </c>
      <c r="C24" s="2">
        <v>39958</v>
      </c>
      <c r="D24" s="2">
        <f>IF('Jaar 2024'!E17&gt;39958,39958-24821,IF('Jaar 2024'!E17&lt;24821,0,'Jaar 2024'!E17-24821))</f>
        <v>15137</v>
      </c>
      <c r="E24" s="2">
        <f>D24*2.471%</f>
        <v>374.03526999999997</v>
      </c>
    </row>
    <row r="25" spans="1:6" x14ac:dyDescent="0.2">
      <c r="A25" s="3" t="s">
        <v>67</v>
      </c>
      <c r="B25" s="2">
        <v>39958</v>
      </c>
      <c r="C25" s="2">
        <v>124935</v>
      </c>
      <c r="D25" s="2">
        <f>IF('Jaar 2024'!E17&gt;124935,124935-39958,IF('Jaar 2024'!E17&lt;39958,0,'Jaar 2024'!E17-39958))</f>
        <v>67647.696299999996</v>
      </c>
      <c r="E25" s="2">
        <f>D25*-6.51%</f>
        <v>-4403.8650291299991</v>
      </c>
      <c r="F25" s="8"/>
    </row>
    <row r="26" spans="1:6" x14ac:dyDescent="0.2">
      <c r="A26" s="3" t="s">
        <v>34</v>
      </c>
      <c r="B26" s="2">
        <v>124935</v>
      </c>
      <c r="D26" s="2">
        <f>IF('Jaar 2024'!E17&gt;124935,+'Jaar 2024'!E17-124935,0)</f>
        <v>0</v>
      </c>
      <c r="E26" s="2">
        <v>0</v>
      </c>
    </row>
    <row r="28" spans="1:6" ht="13.5" thickBot="1" x14ac:dyDescent="0.25">
      <c r="D28" s="5">
        <f>SUM(D22:D27)</f>
        <v>107605.6963</v>
      </c>
      <c r="E28" s="5">
        <f>SUM(E22:E27)</f>
        <v>1131.4084608700014</v>
      </c>
    </row>
    <row r="29" spans="1:6" ht="13.5" thickTop="1" x14ac:dyDescent="0.2"/>
    <row r="30" spans="1:6" x14ac:dyDescent="0.2">
      <c r="A30" s="1" t="s">
        <v>40</v>
      </c>
    </row>
    <row r="32" spans="1:6" x14ac:dyDescent="0.2">
      <c r="B32" s="4" t="s">
        <v>32</v>
      </c>
      <c r="C32" s="4" t="s">
        <v>33</v>
      </c>
      <c r="D32" s="4" t="s">
        <v>38</v>
      </c>
      <c r="E32" s="4" t="s">
        <v>39</v>
      </c>
    </row>
    <row r="33" spans="1:5" x14ac:dyDescent="0.2">
      <c r="A33" s="6" t="s">
        <v>76</v>
      </c>
      <c r="B33" s="2">
        <v>0</v>
      </c>
      <c r="C33" s="2">
        <v>11491</v>
      </c>
      <c r="D33" s="2">
        <f>IF('Jaar 2024'!L13&lt;11491,IF('Jaar 2024'!L13&lt;0,0,+'Jaar 2024'!L13),11491)</f>
        <v>11491</v>
      </c>
      <c r="E33" s="2">
        <f>D33*8.452%</f>
        <v>971.21931999999993</v>
      </c>
    </row>
    <row r="34" spans="1:5" x14ac:dyDescent="0.2">
      <c r="A34" s="7" t="s">
        <v>77</v>
      </c>
      <c r="B34" s="2">
        <v>11491</v>
      </c>
      <c r="C34" s="2">
        <v>24821</v>
      </c>
      <c r="D34" s="2">
        <f>IF('Jaar 2024'!L13&gt;24821,24821-11491,IF('Jaar 2024'!L13&lt;11491,0,'Jaar 2024'!L13-11491))</f>
        <v>13330</v>
      </c>
      <c r="E34" s="2">
        <f>D34*31.433%</f>
        <v>4190.0189</v>
      </c>
    </row>
    <row r="35" spans="1:5" x14ac:dyDescent="0.2">
      <c r="A35" s="9" t="s">
        <v>78</v>
      </c>
      <c r="B35" s="2">
        <v>24821</v>
      </c>
      <c r="C35" s="2">
        <v>39958</v>
      </c>
      <c r="D35" s="2">
        <f>IF('Jaar 2024'!L13&gt;39958,39958-24821,IF('Jaar 2024'!L13&lt;24821,0,'Jaar 2024'!L13-24821))</f>
        <v>15137</v>
      </c>
      <c r="E35" s="2">
        <f>D35*2.471%</f>
        <v>374.03526999999997</v>
      </c>
    </row>
    <row r="36" spans="1:5" x14ac:dyDescent="0.2">
      <c r="A36" s="3" t="s">
        <v>67</v>
      </c>
      <c r="B36" s="2">
        <v>39958</v>
      </c>
      <c r="C36" s="2">
        <v>124935</v>
      </c>
      <c r="D36" s="2">
        <f>IF('Jaar 2024'!L13&gt;124935,124935-39958,IF('Jaar 2024'!L13&lt;39958,0,'Jaar 2024'!L13-39958))</f>
        <v>35042</v>
      </c>
      <c r="E36" s="2">
        <f>D36*-6.51%</f>
        <v>-2281.2341999999999</v>
      </c>
    </row>
    <row r="37" spans="1:5" x14ac:dyDescent="0.2">
      <c r="A37" s="3" t="s">
        <v>34</v>
      </c>
      <c r="B37" s="2">
        <v>124935</v>
      </c>
      <c r="D37" s="2">
        <f>IF('Jaar 2024'!L13&gt;124935,+'Jaar 2024'!L13-124935,0)</f>
        <v>0</v>
      </c>
      <c r="E37" s="2">
        <v>0</v>
      </c>
    </row>
    <row r="39" spans="1:5" ht="13.5" thickBot="1" x14ac:dyDescent="0.25">
      <c r="D39" s="5">
        <f>SUM(D33:D38)</f>
        <v>75000</v>
      </c>
      <c r="E39" s="5">
        <f>SUM(E33:E38)</f>
        <v>3254.0392900000006</v>
      </c>
    </row>
    <row r="40" spans="1:5" ht="13.5" thickTop="1" x14ac:dyDescent="0.2"/>
  </sheetData>
  <pageMargins left="0.75" right="0.75" top="1" bottom="1" header="0.5" footer="0.5"/>
  <pageSetup paperSize="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7637c9-9b96-409c-834a-835d6d35ab27">
      <Terms xmlns="http://schemas.microsoft.com/office/infopath/2007/PartnerControls"/>
    </lcf76f155ced4ddcb4097134ff3c332f>
    <TaxCatchAll xmlns="18421f84-ec2b-4cad-8208-ce540384a3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71872012118443A28E7B9CC7D590C4" ma:contentTypeVersion="11" ma:contentTypeDescription="Een nieuw document maken." ma:contentTypeScope="" ma:versionID="fbd71beaed706ffcc83a8db4066f7fe0">
  <xsd:schema xmlns:xsd="http://www.w3.org/2001/XMLSchema" xmlns:xs="http://www.w3.org/2001/XMLSchema" xmlns:p="http://schemas.microsoft.com/office/2006/metadata/properties" xmlns:ns2="f67637c9-9b96-409c-834a-835d6d35ab27" xmlns:ns3="18421f84-ec2b-4cad-8208-ce540384a3cb" targetNamespace="http://schemas.microsoft.com/office/2006/metadata/properties" ma:root="true" ma:fieldsID="ecabeeaf397d44ee924975545a34492c" ns2:_="" ns3:_="">
    <xsd:import namespace="f67637c9-9b96-409c-834a-835d6d35ab27"/>
    <xsd:import namespace="18421f84-ec2b-4cad-8208-ce540384a3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637c9-9b96-409c-834a-835d6d35a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282cb218-b5e3-4ab6-b19d-d190c4f2512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21f84-ec2b-4cad-8208-ce540384a3c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448f80-d4c5-4975-9007-2e40de7758fd}" ma:internalName="TaxCatchAll" ma:showField="CatchAllData" ma:web="18421f84-ec2b-4cad-8208-ce540384a3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4BD16E-B1D5-4E13-BF25-4B04A19E3FF0}">
  <ds:schemaRefs>
    <ds:schemaRef ds:uri="040df946-bc58-408d-99bf-1f853f8ea61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4dcecbd-68ca-4fe1-a12e-ca674d795236"/>
    <ds:schemaRef ds:uri="http://www.w3.org/XML/1998/namespace"/>
    <ds:schemaRef ds:uri="http://purl.org/dc/dcmitype/"/>
    <ds:schemaRef ds:uri="f67637c9-9b96-409c-834a-835d6d35ab27"/>
    <ds:schemaRef ds:uri="18421f84-ec2b-4cad-8208-ce540384a3cb"/>
  </ds:schemaRefs>
</ds:datastoreItem>
</file>

<file path=customXml/itemProps2.xml><?xml version="1.0" encoding="utf-8"?>
<ds:datastoreItem xmlns:ds="http://schemas.openxmlformats.org/officeDocument/2006/customXml" ds:itemID="{2F21802B-83F0-495D-B4C3-7A475DFAAD01}"/>
</file>

<file path=customXml/itemProps3.xml><?xml version="1.0" encoding="utf-8"?>
<ds:datastoreItem xmlns:ds="http://schemas.openxmlformats.org/officeDocument/2006/customXml" ds:itemID="{65E4AA09-42C1-47AE-8A66-310ABE0AB4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Jaar 2025</vt:lpstr>
      <vt:lpstr>Heffingskortingen 2025</vt:lpstr>
      <vt:lpstr>Jaar 2024</vt:lpstr>
      <vt:lpstr>Heffingskortingen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win98</dc:creator>
  <cp:lastModifiedBy>Harco Sok - (Vries en Nell)</cp:lastModifiedBy>
  <cp:lastPrinted>2019-11-23T16:49:08Z</cp:lastPrinted>
  <dcterms:created xsi:type="dcterms:W3CDTF">2004-10-26T06:47:11Z</dcterms:created>
  <dcterms:modified xsi:type="dcterms:W3CDTF">2024-12-16T15:43:41Z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0x010100FF71872012118443A28E7B9CC7D590C4</vt:lpwstr>
  </property>
  <property fmtid="{D5CDD505-2E9C-101B-9397-08002B2CF9AE}" pid="3" name="Order">
    <vt:r8>74800</vt:r8>
  </property>
  <property fmtid="{D5CDD505-2E9C-101B-9397-08002B2CF9AE}" pid="4" name="MediaServiceImageTags">
    <vt:lpwstr/>
  </property>
</Properties>
</file>